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 firstSheet="33" activeTab="43"/>
  </bookViews>
  <sheets>
    <sheet name="CHARTS" sheetId="55" state="hidden" r:id="rId1"/>
    <sheet name="F. PERFORMANCE" sheetId="1" r:id="rId2"/>
    <sheet name="F. POSITION " sheetId="6" r:id="rId3"/>
    <sheet name="CASH FLOW" sheetId="5" r:id="rId4"/>
    <sheet name="CHANGE IN EQUITY" sheetId="45" r:id="rId5"/>
    <sheet name="BUDGET&amp;ACTUAL" sheetId="4" r:id="rId6"/>
    <sheet name="FAAC (1)" sheetId="8" r:id="rId7"/>
    <sheet name="VAT" sheetId="57" r:id="rId8"/>
    <sheet name="FAAC (2)" sheetId="7" r:id="rId9"/>
    <sheet name="FAAC DEDUC " sheetId="9" r:id="rId10"/>
    <sheet name="IGR" sheetId="27" r:id="rId11"/>
    <sheet name="NON TAX IGR" sheetId="33" r:id="rId12"/>
    <sheet name="OTHER REV." sheetId="16" r:id="rId13"/>
    <sheet name="SALARIES " sheetId="11" r:id="rId14"/>
    <sheet name="PERSONEL" sheetId="46" r:id="rId15"/>
    <sheet name="SOCIAL BENIFITS" sheetId="15" r:id="rId16"/>
    <sheet name="OVERHEAD" sheetId="67" r:id="rId17"/>
    <sheet name="TOF" sheetId="68" r:id="rId18"/>
    <sheet name="SUBVENTION" sheetId="14" r:id="rId19"/>
    <sheet name="DEPRECIATION " sheetId="20" state="hidden" r:id="rId20"/>
    <sheet name="DEPRECIATION B" sheetId="42" r:id="rId21"/>
    <sheet name="CAPITAL COST" sheetId="32" r:id="rId22"/>
    <sheet name="INTANGIBLE" sheetId="21" state="hidden" r:id="rId23"/>
    <sheet name="SALARIES (CASH)" sheetId="69" state="hidden" r:id="rId24"/>
    <sheet name="SOCIAL BENIFITS (CASH)" sheetId="71" state="hidden" r:id="rId25"/>
    <sheet name="OVERHEAD (CASH)" sheetId="72" state="hidden" r:id="rId26"/>
    <sheet name="TOF (CASH)" sheetId="73" state="hidden" r:id="rId27"/>
    <sheet name="SUBVENTION (CASH)" sheetId="74" state="hidden" r:id="rId28"/>
    <sheet name="CAPITAL (CASH)" sheetId="30" state="hidden" r:id="rId29"/>
    <sheet name="FOREIGN&amp;LLOCAL LOAN" sheetId="22" state="hidden" r:id="rId30"/>
    <sheet name="CASH BAL " sheetId="34" r:id="rId31"/>
    <sheet name="INVENTORIES " sheetId="39" r:id="rId32"/>
    <sheet name="BOND SINKING " sheetId="40" r:id="rId33"/>
    <sheet name="PPE " sheetId="41" r:id="rId34"/>
    <sheet name="REVOLVING LOAN " sheetId="24" state="hidden" r:id="rId35"/>
    <sheet name="FIXED ASSETS" sheetId="52" r:id="rId36"/>
    <sheet name="WIP" sheetId="53" r:id="rId37"/>
    <sheet name="ACCRUALS" sheetId="43" r:id="rId38"/>
    <sheet name="F LOANS REPYT " sheetId="18" r:id="rId39"/>
    <sheet name="D LOANS REPYT " sheetId="19" r:id="rId40"/>
    <sheet name="ANNEXURE 1 " sheetId="75" state="hidden" r:id="rId41"/>
    <sheet name="ANNEXURE 2 " sheetId="76" state="hidden" r:id="rId42"/>
    <sheet name="ANNEXURE 3" sheetId="47" r:id="rId43"/>
    <sheet name="ANNEXURE 4" sheetId="51" r:id="rId44"/>
    <sheet name="LOANS REPYT (31)" sheetId="56" state="hidden" r:id="rId45"/>
  </sheets>
  <externalReferences>
    <externalReference r:id="rId46"/>
  </externalReferences>
  <definedNames>
    <definedName name="_xlnm.Print_Area" localSheetId="42">'ANNEXURE 3'!$A$1:$G$23</definedName>
    <definedName name="_xlnm.Print_Area" localSheetId="5">'BUDGET&amp;ACTUAL'!$A$1:$H$40</definedName>
    <definedName name="_xlnm.Print_Area" localSheetId="21">'CAPITAL COST'!$A$1:$G$38</definedName>
    <definedName name="_xlnm.Print_Area" localSheetId="39">'D LOANS REPYT '!$A$1:$J$19</definedName>
    <definedName name="_xlnm.Print_Area" localSheetId="2">'F. POSITION '!$A$1:$G$45</definedName>
    <definedName name="_xlnm.Print_Area" localSheetId="8">'FAAC (2)'!$A$1:$I$20</definedName>
    <definedName name="_xlnm.Print_Area" localSheetId="10">IGR!$A$1:$H$29</definedName>
    <definedName name="_xlnm.Print_Area" localSheetId="22">INTANGIBLE!$A$1:$H$20</definedName>
    <definedName name="_xlnm.Print_Area" localSheetId="25">'OVERHEAD (CASH)'!$A$1:$H$208</definedName>
    <definedName name="_xlnm.Print_Titles" localSheetId="37">ACCRUALS!$5:$6</definedName>
    <definedName name="_xlnm.Print_Titles" localSheetId="40">'ANNEXURE 1 '!$5:$7</definedName>
    <definedName name="_xlnm.Print_Titles" localSheetId="41">'ANNEXURE 2 '!$5:$6</definedName>
    <definedName name="_xlnm.Print_Titles" localSheetId="42">'ANNEXURE 3'!$5:$5</definedName>
    <definedName name="_xlnm.Print_Titles" localSheetId="43">'ANNEXURE 4'!$5:$5</definedName>
    <definedName name="_xlnm.Print_Titles" localSheetId="32">'BOND SINKING '!$5:$5</definedName>
    <definedName name="_xlnm.Print_Titles" localSheetId="5">'BUDGET&amp;ACTUAL'!$5:$7</definedName>
    <definedName name="_xlnm.Print_Titles" localSheetId="28">'CAPITAL (CASH)'!$6:$7</definedName>
    <definedName name="_xlnm.Print_Titles" localSheetId="21">'CAPITAL COST'!#REF!</definedName>
    <definedName name="_xlnm.Print_Titles" localSheetId="30">'CASH BAL '!$6:$7</definedName>
    <definedName name="_xlnm.Print_Titles" localSheetId="3">'CASH FLOW'!$4:$5</definedName>
    <definedName name="_xlnm.Print_Titles" localSheetId="4">'CHANGE IN EQUITY'!$5:$6</definedName>
    <definedName name="_xlnm.Print_Titles" localSheetId="19">'DEPRECIATION '!$6:$6</definedName>
    <definedName name="_xlnm.Print_Titles" localSheetId="20">'DEPRECIATION B'!$6:$8</definedName>
    <definedName name="_xlnm.Print_Titles" localSheetId="1">'F. PERFORMANCE'!$5:$6</definedName>
    <definedName name="_xlnm.Print_Titles" localSheetId="2">'F. POSITION '!$5:$6</definedName>
    <definedName name="_xlnm.Print_Titles" localSheetId="35">'FIXED ASSETS'!#REF!</definedName>
    <definedName name="_xlnm.Print_Titles" localSheetId="29">'FOREIGN&amp;LLOCAL LOAN'!$6:$6</definedName>
    <definedName name="_xlnm.Print_Titles" localSheetId="10">IGR!$6:$6</definedName>
    <definedName name="_xlnm.Print_Titles" localSheetId="22">INTANGIBLE!$6:$8</definedName>
    <definedName name="_xlnm.Print_Titles" localSheetId="31">'INVENTORIES '!$5:$6</definedName>
    <definedName name="_xlnm.Print_Titles" localSheetId="11">'NON TAX IGR'!$5:$6</definedName>
    <definedName name="_xlnm.Print_Titles" localSheetId="16">OVERHEAD!$6:$7</definedName>
    <definedName name="_xlnm.Print_Titles" localSheetId="25">'OVERHEAD (CASH)'!$6:$7</definedName>
    <definedName name="_xlnm.Print_Titles" localSheetId="14">PERSONEL!$7:$8</definedName>
    <definedName name="_xlnm.Print_Titles" localSheetId="33">'PPE '!$6:$6</definedName>
    <definedName name="_xlnm.Print_Titles" localSheetId="34">'REVOLVING LOAN '!#REF!</definedName>
    <definedName name="_xlnm.Print_Titles" localSheetId="13">'SALARIES '!$6:$7</definedName>
    <definedName name="_xlnm.Print_Titles" localSheetId="23">'SALARIES (CASH)'!$6:$7</definedName>
    <definedName name="_xlnm.Print_Titles" localSheetId="15">'SOCIAL BENIFITS'!$6:$7</definedName>
    <definedName name="_xlnm.Print_Titles" localSheetId="24">'SOCIAL BENIFITS (CASH)'!$7:$8</definedName>
    <definedName name="_xlnm.Print_Titles" localSheetId="18">SUBVENTION!$6:$7</definedName>
    <definedName name="_xlnm.Print_Titles" localSheetId="27">'SUBVENTION (CASH)'!$6:$7</definedName>
    <definedName name="_xlnm.Print_Titles" localSheetId="17">TOF!$5:$6</definedName>
    <definedName name="_xlnm.Print_Titles" localSheetId="26">'TOF (CASH)'!$6:$7</definedName>
    <definedName name="_xlnm.Print_Titles" localSheetId="36">WIP!#REF!</definedName>
  </definedNames>
  <calcPr calcId="152511"/>
</workbook>
</file>

<file path=xl/calcChain.xml><?xml version="1.0" encoding="utf-8"?>
<calcChain xmlns="http://schemas.openxmlformats.org/spreadsheetml/2006/main">
  <c r="F338" i="76" l="1"/>
  <c r="E338" i="76" s="1"/>
  <c r="M338" i="76" s="1"/>
  <c r="S338" i="76" s="1"/>
  <c r="F337" i="76"/>
  <c r="R336" i="76"/>
  <c r="L336" i="76"/>
  <c r="K336" i="76"/>
  <c r="J336" i="76"/>
  <c r="I336" i="76"/>
  <c r="H336" i="76"/>
  <c r="G336" i="76"/>
  <c r="F336" i="76"/>
  <c r="E335" i="76"/>
  <c r="M335" i="76" s="1"/>
  <c r="H333" i="76"/>
  <c r="E333" i="76" s="1"/>
  <c r="R332" i="76"/>
  <c r="R334" i="76" s="1"/>
  <c r="L332" i="76"/>
  <c r="L334" i="76" s="1"/>
  <c r="K332" i="76"/>
  <c r="K334" i="76" s="1"/>
  <c r="J332" i="76"/>
  <c r="J334" i="76" s="1"/>
  <c r="I332" i="76"/>
  <c r="I334" i="76" s="1"/>
  <c r="H332" i="76"/>
  <c r="G332" i="76"/>
  <c r="G334" i="76" s="1"/>
  <c r="F332" i="76"/>
  <c r="F334" i="76" s="1"/>
  <c r="E331" i="76"/>
  <c r="M331" i="76" s="1"/>
  <c r="S331" i="76" s="1"/>
  <c r="E330" i="76"/>
  <c r="M330" i="76" s="1"/>
  <c r="S330" i="76" s="1"/>
  <c r="E329" i="76"/>
  <c r="M329" i="76" s="1"/>
  <c r="S329" i="76" s="1"/>
  <c r="E328" i="76"/>
  <c r="M327" i="76"/>
  <c r="S327" i="76" s="1"/>
  <c r="E327" i="76"/>
  <c r="R325" i="76"/>
  <c r="L325" i="76"/>
  <c r="K325" i="76"/>
  <c r="J325" i="76"/>
  <c r="I325" i="76"/>
  <c r="G325" i="76"/>
  <c r="E324" i="76"/>
  <c r="M324" i="76" s="1"/>
  <c r="S324" i="76" s="1"/>
  <c r="H323" i="76"/>
  <c r="H325" i="76" s="1"/>
  <c r="H326" i="76" s="1"/>
  <c r="F323" i="76"/>
  <c r="R322" i="76"/>
  <c r="L322" i="76"/>
  <c r="K322" i="76"/>
  <c r="J322" i="76"/>
  <c r="I322" i="76"/>
  <c r="H322" i="76"/>
  <c r="G322" i="76"/>
  <c r="E321" i="76"/>
  <c r="M321" i="76" s="1"/>
  <c r="S321" i="76" s="1"/>
  <c r="E320" i="76"/>
  <c r="M320" i="76" s="1"/>
  <c r="S320" i="76" s="1"/>
  <c r="M319" i="76"/>
  <c r="S319" i="76" s="1"/>
  <c r="E319" i="76"/>
  <c r="E318" i="76"/>
  <c r="M318" i="76" s="1"/>
  <c r="S318" i="76" s="1"/>
  <c r="F317" i="76"/>
  <c r="F322" i="76" s="1"/>
  <c r="M316" i="76"/>
  <c r="S316" i="76" s="1"/>
  <c r="E316" i="76"/>
  <c r="E315" i="76"/>
  <c r="M315" i="76" s="1"/>
  <c r="S315" i="76" s="1"/>
  <c r="E314" i="76"/>
  <c r="M314" i="76" s="1"/>
  <c r="S314" i="76" s="1"/>
  <c r="E313" i="76"/>
  <c r="M313" i="76" s="1"/>
  <c r="S313" i="76" s="1"/>
  <c r="M312" i="76"/>
  <c r="S312" i="76" s="1"/>
  <c r="E312" i="76"/>
  <c r="E311" i="76"/>
  <c r="M311" i="76" s="1"/>
  <c r="S311" i="76" s="1"/>
  <c r="E310" i="76"/>
  <c r="R309" i="76"/>
  <c r="L309" i="76"/>
  <c r="K309" i="76"/>
  <c r="J309" i="76"/>
  <c r="I309" i="76"/>
  <c r="H309" i="76"/>
  <c r="G309" i="76"/>
  <c r="F309" i="76"/>
  <c r="M308" i="76"/>
  <c r="S308" i="76" s="1"/>
  <c r="S309" i="76" s="1"/>
  <c r="E308" i="76"/>
  <c r="E309" i="76" s="1"/>
  <c r="R307" i="76"/>
  <c r="L307" i="76"/>
  <c r="K307" i="76"/>
  <c r="J307" i="76"/>
  <c r="I307" i="76"/>
  <c r="H307" i="76"/>
  <c r="G307" i="76"/>
  <c r="F307" i="76"/>
  <c r="M306" i="76"/>
  <c r="S306" i="76" s="1"/>
  <c r="S307" i="76" s="1"/>
  <c r="E306" i="76"/>
  <c r="E307" i="76" s="1"/>
  <c r="R305" i="76"/>
  <c r="L305" i="76"/>
  <c r="K305" i="76"/>
  <c r="J305" i="76"/>
  <c r="I305" i="76"/>
  <c r="H305" i="76"/>
  <c r="G305" i="76"/>
  <c r="F304" i="76"/>
  <c r="F305" i="76" s="1"/>
  <c r="R303" i="76"/>
  <c r="L303" i="76"/>
  <c r="K303" i="76"/>
  <c r="J303" i="76"/>
  <c r="I303" i="76"/>
  <c r="H303" i="76"/>
  <c r="G303" i="76"/>
  <c r="E302" i="76"/>
  <c r="M302" i="76" s="1"/>
  <c r="S302" i="76" s="1"/>
  <c r="E301" i="76"/>
  <c r="M301" i="76" s="1"/>
  <c r="S301" i="76" s="1"/>
  <c r="F300" i="76"/>
  <c r="E300" i="76" s="1"/>
  <c r="E299" i="76"/>
  <c r="M299" i="76" s="1"/>
  <c r="S299" i="76" s="1"/>
  <c r="R297" i="76"/>
  <c r="L297" i="76"/>
  <c r="K297" i="76"/>
  <c r="J297" i="76"/>
  <c r="I297" i="76"/>
  <c r="H297" i="76"/>
  <c r="G297" i="76"/>
  <c r="F297" i="76"/>
  <c r="M296" i="76"/>
  <c r="S296" i="76" s="1"/>
  <c r="E296" i="76"/>
  <c r="E295" i="76"/>
  <c r="M295" i="76" s="1"/>
  <c r="R294" i="76"/>
  <c r="L294" i="76"/>
  <c r="K294" i="76"/>
  <c r="J294" i="76"/>
  <c r="I294" i="76"/>
  <c r="H294" i="76"/>
  <c r="G294" i="76"/>
  <c r="F294" i="76"/>
  <c r="E293" i="76"/>
  <c r="M293" i="76" s="1"/>
  <c r="R292" i="76"/>
  <c r="L292" i="76"/>
  <c r="K292" i="76"/>
  <c r="J292" i="76"/>
  <c r="I292" i="76"/>
  <c r="H292" i="76"/>
  <c r="G292" i="76"/>
  <c r="F292" i="76"/>
  <c r="E291" i="76"/>
  <c r="M291" i="76" s="1"/>
  <c r="S291" i="76" s="1"/>
  <c r="E290" i="76"/>
  <c r="M290" i="76" s="1"/>
  <c r="S290" i="76" s="1"/>
  <c r="E289" i="76"/>
  <c r="M289" i="76" s="1"/>
  <c r="S289" i="76" s="1"/>
  <c r="M288" i="76"/>
  <c r="S288" i="76" s="1"/>
  <c r="E288" i="76"/>
  <c r="E287" i="76"/>
  <c r="M287" i="76" s="1"/>
  <c r="S287" i="76" s="1"/>
  <c r="E286" i="76"/>
  <c r="M286" i="76" s="1"/>
  <c r="S286" i="76" s="1"/>
  <c r="E285" i="76"/>
  <c r="M285" i="76" s="1"/>
  <c r="S285" i="76" s="1"/>
  <c r="M284" i="76"/>
  <c r="S284" i="76" s="1"/>
  <c r="E284" i="76"/>
  <c r="E283" i="76"/>
  <c r="M283" i="76" s="1"/>
  <c r="S283" i="76" s="1"/>
  <c r="E282" i="76"/>
  <c r="E292" i="76" s="1"/>
  <c r="R281" i="76"/>
  <c r="L281" i="76"/>
  <c r="K281" i="76"/>
  <c r="J281" i="76"/>
  <c r="I281" i="76"/>
  <c r="H281" i="76"/>
  <c r="G281" i="76"/>
  <c r="F281" i="76"/>
  <c r="E280" i="76"/>
  <c r="M280" i="76" s="1"/>
  <c r="S280" i="76" s="1"/>
  <c r="E279" i="76"/>
  <c r="M279" i="76" s="1"/>
  <c r="S279" i="76" s="1"/>
  <c r="M278" i="76"/>
  <c r="S278" i="76" s="1"/>
  <c r="E278" i="76"/>
  <c r="E277" i="76"/>
  <c r="M277" i="76" s="1"/>
  <c r="S277" i="76" s="1"/>
  <c r="E276" i="76"/>
  <c r="M276" i="76" s="1"/>
  <c r="S276" i="76" s="1"/>
  <c r="E275" i="76"/>
  <c r="M275" i="76" s="1"/>
  <c r="S275" i="76" s="1"/>
  <c r="M274" i="76"/>
  <c r="S274" i="76" s="1"/>
  <c r="E274" i="76"/>
  <c r="E273" i="76"/>
  <c r="M273" i="76" s="1"/>
  <c r="E272" i="76"/>
  <c r="M272" i="76" s="1"/>
  <c r="S272" i="76" s="1"/>
  <c r="E271" i="76"/>
  <c r="M271" i="76" s="1"/>
  <c r="S271" i="76" s="1"/>
  <c r="R270" i="76"/>
  <c r="R269" i="76"/>
  <c r="L269" i="76"/>
  <c r="K269" i="76"/>
  <c r="J269" i="76"/>
  <c r="J270" i="76" s="1"/>
  <c r="I269" i="76"/>
  <c r="H269" i="76"/>
  <c r="G269" i="76"/>
  <c r="F269" i="76"/>
  <c r="F270" i="76" s="1"/>
  <c r="M268" i="76"/>
  <c r="S268" i="76" s="1"/>
  <c r="E268" i="76"/>
  <c r="M267" i="76"/>
  <c r="E266" i="76"/>
  <c r="E269" i="76" s="1"/>
  <c r="R265" i="76"/>
  <c r="L265" i="76"/>
  <c r="K265" i="76"/>
  <c r="J265" i="76"/>
  <c r="I265" i="76"/>
  <c r="H265" i="76"/>
  <c r="G265" i="76"/>
  <c r="F265" i="76"/>
  <c r="E264" i="76"/>
  <c r="M264" i="76" s="1"/>
  <c r="S264" i="76" s="1"/>
  <c r="E263" i="76"/>
  <c r="M263" i="76" s="1"/>
  <c r="S263" i="76" s="1"/>
  <c r="M262" i="76"/>
  <c r="S262" i="76" s="1"/>
  <c r="E262" i="76"/>
  <c r="E261" i="76"/>
  <c r="E260" i="76"/>
  <c r="M260" i="76" s="1"/>
  <c r="S260" i="76" s="1"/>
  <c r="R259" i="76"/>
  <c r="L259" i="76"/>
  <c r="K259" i="76"/>
  <c r="J259" i="76"/>
  <c r="I259" i="76"/>
  <c r="H259" i="76"/>
  <c r="G259" i="76"/>
  <c r="F259" i="76"/>
  <c r="M258" i="76"/>
  <c r="S258" i="76" s="1"/>
  <c r="E258" i="76"/>
  <c r="E257" i="76"/>
  <c r="M257" i="76" s="1"/>
  <c r="S257" i="76" s="1"/>
  <c r="M256" i="76"/>
  <c r="S256" i="76" s="1"/>
  <c r="M255" i="76"/>
  <c r="S255" i="76" s="1"/>
  <c r="E254" i="76"/>
  <c r="E259" i="76" s="1"/>
  <c r="E253" i="76"/>
  <c r="M253" i="76" s="1"/>
  <c r="S253" i="76" s="1"/>
  <c r="R251" i="76"/>
  <c r="L251" i="76"/>
  <c r="L252" i="76" s="1"/>
  <c r="K251" i="76"/>
  <c r="J251" i="76"/>
  <c r="I251" i="76"/>
  <c r="G251" i="76"/>
  <c r="F251" i="76"/>
  <c r="M250" i="76"/>
  <c r="S250" i="76" s="1"/>
  <c r="E250" i="76"/>
  <c r="E249" i="76"/>
  <c r="M249" i="76" s="1"/>
  <c r="S249" i="76" s="1"/>
  <c r="E248" i="76"/>
  <c r="M248" i="76" s="1"/>
  <c r="S248" i="76" s="1"/>
  <c r="E247" i="76"/>
  <c r="M247" i="76" s="1"/>
  <c r="S247" i="76" s="1"/>
  <c r="H246" i="76"/>
  <c r="H251" i="76" s="1"/>
  <c r="E246" i="76"/>
  <c r="E245" i="76"/>
  <c r="M245" i="76" s="1"/>
  <c r="S245" i="76" s="1"/>
  <c r="R244" i="76"/>
  <c r="L244" i="76"/>
  <c r="K244" i="76"/>
  <c r="J244" i="76"/>
  <c r="I244" i="76"/>
  <c r="H244" i="76"/>
  <c r="G244" i="76"/>
  <c r="F244" i="76"/>
  <c r="E243" i="76"/>
  <c r="M243" i="76" s="1"/>
  <c r="S243" i="76" s="1"/>
  <c r="E242" i="76"/>
  <c r="M242" i="76" s="1"/>
  <c r="S242" i="76" s="1"/>
  <c r="M241" i="76"/>
  <c r="S241" i="76" s="1"/>
  <c r="E241" i="76"/>
  <c r="E240" i="76"/>
  <c r="M240" i="76" s="1"/>
  <c r="S240" i="76" s="1"/>
  <c r="E239" i="76"/>
  <c r="M239" i="76" s="1"/>
  <c r="S239" i="76" s="1"/>
  <c r="E238" i="76"/>
  <c r="M238" i="76" s="1"/>
  <c r="S238" i="76" s="1"/>
  <c r="M237" i="76"/>
  <c r="S237" i="76" s="1"/>
  <c r="E237" i="76"/>
  <c r="E236" i="76"/>
  <c r="M236" i="76" s="1"/>
  <c r="E235" i="76"/>
  <c r="M235" i="76" s="1"/>
  <c r="S235" i="76" s="1"/>
  <c r="R234" i="76"/>
  <c r="L234" i="76"/>
  <c r="K234" i="76"/>
  <c r="J234" i="76"/>
  <c r="I234" i="76"/>
  <c r="H234" i="76"/>
  <c r="G234" i="76"/>
  <c r="F234" i="76"/>
  <c r="E233" i="76"/>
  <c r="M233" i="76" s="1"/>
  <c r="S233" i="76" s="1"/>
  <c r="M232" i="76"/>
  <c r="S232" i="76" s="1"/>
  <c r="E231" i="76"/>
  <c r="M231" i="76" s="1"/>
  <c r="S231" i="76" s="1"/>
  <c r="M230" i="76"/>
  <c r="S230" i="76" s="1"/>
  <c r="E230" i="76"/>
  <c r="E229" i="76"/>
  <c r="M229" i="76" s="1"/>
  <c r="S229" i="76" s="1"/>
  <c r="E228" i="76"/>
  <c r="M228" i="76" s="1"/>
  <c r="E227" i="76"/>
  <c r="M227" i="76" s="1"/>
  <c r="S227" i="76" s="1"/>
  <c r="R225" i="76"/>
  <c r="L225" i="76"/>
  <c r="K225" i="76"/>
  <c r="J225" i="76"/>
  <c r="I225" i="76"/>
  <c r="H225" i="76"/>
  <c r="G225" i="76"/>
  <c r="F225" i="76"/>
  <c r="E224" i="76"/>
  <c r="M224" i="76" s="1"/>
  <c r="S224" i="76" s="1"/>
  <c r="E223" i="76"/>
  <c r="M223" i="76" s="1"/>
  <c r="R222" i="76"/>
  <c r="R226" i="76" s="1"/>
  <c r="L222" i="76"/>
  <c r="L226" i="76" s="1"/>
  <c r="K222" i="76"/>
  <c r="J222" i="76"/>
  <c r="J226" i="76" s="1"/>
  <c r="I222" i="76"/>
  <c r="H222" i="76"/>
  <c r="H226" i="76" s="1"/>
  <c r="G222" i="76"/>
  <c r="F222" i="76"/>
  <c r="F226" i="76" s="1"/>
  <c r="E221" i="76"/>
  <c r="M221" i="76" s="1"/>
  <c r="S221" i="76" s="1"/>
  <c r="E220" i="76"/>
  <c r="E222" i="76" s="1"/>
  <c r="E219" i="76"/>
  <c r="M219" i="76" s="1"/>
  <c r="S219" i="76" s="1"/>
  <c r="R217" i="76"/>
  <c r="L217" i="76"/>
  <c r="K217" i="76"/>
  <c r="J217" i="76"/>
  <c r="I217" i="76"/>
  <c r="H217" i="76"/>
  <c r="G217" i="76"/>
  <c r="F217" i="76"/>
  <c r="M216" i="76"/>
  <c r="S216" i="76" s="1"/>
  <c r="E216" i="76"/>
  <c r="E215" i="76"/>
  <c r="M215" i="76" s="1"/>
  <c r="S215" i="76" s="1"/>
  <c r="E214" i="76"/>
  <c r="M214" i="76" s="1"/>
  <c r="S214" i="76" s="1"/>
  <c r="E213" i="76"/>
  <c r="M213" i="76" s="1"/>
  <c r="M212" i="76"/>
  <c r="S212" i="76" s="1"/>
  <c r="E212" i="76"/>
  <c r="R211" i="76"/>
  <c r="L211" i="76"/>
  <c r="K211" i="76"/>
  <c r="J211" i="76"/>
  <c r="I211" i="76"/>
  <c r="H211" i="76"/>
  <c r="G211" i="76"/>
  <c r="F211" i="76"/>
  <c r="E210" i="76"/>
  <c r="M210" i="76" s="1"/>
  <c r="S210" i="76" s="1"/>
  <c r="S211" i="76" s="1"/>
  <c r="R209" i="76"/>
  <c r="L209" i="76"/>
  <c r="K209" i="76"/>
  <c r="J209" i="76"/>
  <c r="I209" i="76"/>
  <c r="H209" i="76"/>
  <c r="G209" i="76"/>
  <c r="F209" i="76"/>
  <c r="M208" i="76"/>
  <c r="S208" i="76" s="1"/>
  <c r="E208" i="76"/>
  <c r="E207" i="76"/>
  <c r="M207" i="76" s="1"/>
  <c r="R206" i="76"/>
  <c r="L206" i="76"/>
  <c r="K206" i="76"/>
  <c r="J206" i="76"/>
  <c r="I206" i="76"/>
  <c r="H206" i="76"/>
  <c r="G206" i="76"/>
  <c r="F206" i="76"/>
  <c r="E205" i="76"/>
  <c r="M205" i="76" s="1"/>
  <c r="S205" i="76" s="1"/>
  <c r="M204" i="76"/>
  <c r="S204" i="76" s="1"/>
  <c r="E204" i="76"/>
  <c r="E203" i="76"/>
  <c r="M203" i="76" s="1"/>
  <c r="S203" i="76" s="1"/>
  <c r="E202" i="76"/>
  <c r="E206" i="76" s="1"/>
  <c r="R201" i="76"/>
  <c r="L201" i="76"/>
  <c r="K201" i="76"/>
  <c r="J201" i="76"/>
  <c r="I201" i="76"/>
  <c r="H201" i="76"/>
  <c r="G201" i="76"/>
  <c r="F201" i="76"/>
  <c r="M200" i="76"/>
  <c r="S200" i="76" s="1"/>
  <c r="E200" i="76"/>
  <c r="E199" i="76"/>
  <c r="M199" i="76" s="1"/>
  <c r="R198" i="76"/>
  <c r="L198" i="76"/>
  <c r="K198" i="76"/>
  <c r="J198" i="76"/>
  <c r="I198" i="76"/>
  <c r="H198" i="76"/>
  <c r="G198" i="76"/>
  <c r="F198" i="76"/>
  <c r="E197" i="76"/>
  <c r="M197" i="76" s="1"/>
  <c r="S197" i="76" s="1"/>
  <c r="M196" i="76"/>
  <c r="S196" i="76" s="1"/>
  <c r="E196" i="76"/>
  <c r="E195" i="76"/>
  <c r="M195" i="76" s="1"/>
  <c r="S195" i="76" s="1"/>
  <c r="E194" i="76"/>
  <c r="M194" i="76" s="1"/>
  <c r="S194" i="76" s="1"/>
  <c r="E193" i="76"/>
  <c r="M193" i="76" s="1"/>
  <c r="S193" i="76" s="1"/>
  <c r="M192" i="76"/>
  <c r="S192" i="76" s="1"/>
  <c r="E192" i="76"/>
  <c r="E191" i="76"/>
  <c r="M191" i="76" s="1"/>
  <c r="S191" i="76" s="1"/>
  <c r="E190" i="76"/>
  <c r="M190" i="76" s="1"/>
  <c r="S190" i="76" s="1"/>
  <c r="E189" i="76"/>
  <c r="M189" i="76" s="1"/>
  <c r="R188" i="76"/>
  <c r="L188" i="76"/>
  <c r="K188" i="76"/>
  <c r="J188" i="76"/>
  <c r="I188" i="76"/>
  <c r="H188" i="76"/>
  <c r="G188" i="76"/>
  <c r="F188" i="76"/>
  <c r="E187" i="76"/>
  <c r="M187" i="76" s="1"/>
  <c r="S187" i="76" s="1"/>
  <c r="E186" i="76"/>
  <c r="M186" i="76" s="1"/>
  <c r="S186" i="76" s="1"/>
  <c r="E185" i="76"/>
  <c r="M185" i="76" s="1"/>
  <c r="S185" i="76" s="1"/>
  <c r="M184" i="76"/>
  <c r="S184" i="76" s="1"/>
  <c r="E184" i="76"/>
  <c r="E183" i="76"/>
  <c r="E188" i="76" s="1"/>
  <c r="R182" i="76"/>
  <c r="L182" i="76"/>
  <c r="K182" i="76"/>
  <c r="J182" i="76"/>
  <c r="I182" i="76"/>
  <c r="H182" i="76"/>
  <c r="G182" i="76"/>
  <c r="F182" i="76"/>
  <c r="E181" i="76"/>
  <c r="M181" i="76" s="1"/>
  <c r="S181" i="76" s="1"/>
  <c r="M180" i="76"/>
  <c r="M182" i="76" s="1"/>
  <c r="E180" i="76"/>
  <c r="E182" i="76" s="1"/>
  <c r="R179" i="76"/>
  <c r="L179" i="76"/>
  <c r="K179" i="76"/>
  <c r="J179" i="76"/>
  <c r="I179" i="76"/>
  <c r="G179" i="76"/>
  <c r="F179" i="76"/>
  <c r="E178" i="76"/>
  <c r="M178" i="76" s="1"/>
  <c r="S178" i="76" s="1"/>
  <c r="E177" i="76"/>
  <c r="M177" i="76" s="1"/>
  <c r="S177" i="76" s="1"/>
  <c r="M176" i="76"/>
  <c r="S176" i="76" s="1"/>
  <c r="E176" i="76"/>
  <c r="E175" i="76"/>
  <c r="M175" i="76" s="1"/>
  <c r="S175" i="76" s="1"/>
  <c r="E174" i="76"/>
  <c r="M174" i="76" s="1"/>
  <c r="S174" i="76" s="1"/>
  <c r="E173" i="76"/>
  <c r="M173" i="76" s="1"/>
  <c r="S173" i="76" s="1"/>
  <c r="M172" i="76"/>
  <c r="S172" i="76" s="1"/>
  <c r="E172" i="76"/>
  <c r="E171" i="76"/>
  <c r="M171" i="76" s="1"/>
  <c r="S171" i="76" s="1"/>
  <c r="E170" i="76"/>
  <c r="M170" i="76" s="1"/>
  <c r="S170" i="76" s="1"/>
  <c r="E169" i="76"/>
  <c r="M169" i="76" s="1"/>
  <c r="S169" i="76" s="1"/>
  <c r="H168" i="76"/>
  <c r="H179" i="76" s="1"/>
  <c r="M167" i="76"/>
  <c r="S167" i="76" s="1"/>
  <c r="E167" i="76"/>
  <c r="E166" i="76"/>
  <c r="M166" i="76" s="1"/>
  <c r="S166" i="76" s="1"/>
  <c r="E165" i="76"/>
  <c r="M165" i="76" s="1"/>
  <c r="S165" i="76" s="1"/>
  <c r="E164" i="76"/>
  <c r="M164" i="76" s="1"/>
  <c r="S164" i="76" s="1"/>
  <c r="M163" i="76"/>
  <c r="S163" i="76" s="1"/>
  <c r="E163" i="76"/>
  <c r="E162" i="76"/>
  <c r="M162" i="76" s="1"/>
  <c r="S162" i="76" s="1"/>
  <c r="E161" i="76"/>
  <c r="M161" i="76" s="1"/>
  <c r="S161" i="76" s="1"/>
  <c r="E160" i="76"/>
  <c r="M160" i="76" s="1"/>
  <c r="S160" i="76" s="1"/>
  <c r="M159" i="76"/>
  <c r="S159" i="76" s="1"/>
  <c r="E159" i="76"/>
  <c r="E158" i="76"/>
  <c r="M158" i="76" s="1"/>
  <c r="S158" i="76" s="1"/>
  <c r="E157" i="76"/>
  <c r="M157" i="76" s="1"/>
  <c r="S157" i="76" s="1"/>
  <c r="E156" i="76"/>
  <c r="M156" i="76" s="1"/>
  <c r="M155" i="76"/>
  <c r="S155" i="76" s="1"/>
  <c r="E155" i="76"/>
  <c r="R153" i="76"/>
  <c r="R154" i="76" s="1"/>
  <c r="L153" i="76"/>
  <c r="K153" i="76"/>
  <c r="J153" i="76"/>
  <c r="I153" i="76"/>
  <c r="H153" i="76"/>
  <c r="G153" i="76"/>
  <c r="F153" i="76"/>
  <c r="E152" i="76"/>
  <c r="M152" i="76" s="1"/>
  <c r="S152" i="76" s="1"/>
  <c r="E151" i="76"/>
  <c r="R150" i="76"/>
  <c r="L150" i="76"/>
  <c r="K150" i="76"/>
  <c r="J150" i="76"/>
  <c r="I150" i="76"/>
  <c r="H150" i="76"/>
  <c r="G150" i="76"/>
  <c r="F150" i="76"/>
  <c r="M149" i="76"/>
  <c r="S149" i="76" s="1"/>
  <c r="S150" i="76" s="1"/>
  <c r="E149" i="76"/>
  <c r="E150" i="76" s="1"/>
  <c r="E148" i="76"/>
  <c r="M148" i="76" s="1"/>
  <c r="S148" i="76" s="1"/>
  <c r="R146" i="76"/>
  <c r="L146" i="76"/>
  <c r="K146" i="76"/>
  <c r="J146" i="76"/>
  <c r="I146" i="76"/>
  <c r="H146" i="76"/>
  <c r="G146" i="76"/>
  <c r="F146" i="76"/>
  <c r="E145" i="76"/>
  <c r="M145" i="76" s="1"/>
  <c r="S145" i="76" s="1"/>
  <c r="E144" i="76"/>
  <c r="M144" i="76" s="1"/>
  <c r="S144" i="76" s="1"/>
  <c r="M143" i="76"/>
  <c r="S143" i="76" s="1"/>
  <c r="E143" i="76"/>
  <c r="E142" i="76"/>
  <c r="E141" i="76"/>
  <c r="M141" i="76" s="1"/>
  <c r="S141" i="76" s="1"/>
  <c r="R140" i="76"/>
  <c r="L140" i="76"/>
  <c r="K140" i="76"/>
  <c r="J140" i="76"/>
  <c r="I140" i="76"/>
  <c r="H140" i="76"/>
  <c r="G140" i="76"/>
  <c r="F140" i="76"/>
  <c r="E140" i="76"/>
  <c r="E139" i="76"/>
  <c r="M139" i="76" s="1"/>
  <c r="S139" i="76" s="1"/>
  <c r="S140" i="76" s="1"/>
  <c r="R138" i="76"/>
  <c r="L138" i="76"/>
  <c r="K138" i="76"/>
  <c r="J138" i="76"/>
  <c r="I138" i="76"/>
  <c r="H138" i="76"/>
  <c r="G138" i="76"/>
  <c r="F138" i="76"/>
  <c r="M137" i="76"/>
  <c r="S137" i="76" s="1"/>
  <c r="E137" i="76"/>
  <c r="E136" i="76"/>
  <c r="M136" i="76" s="1"/>
  <c r="S136" i="76" s="1"/>
  <c r="E135" i="76"/>
  <c r="M135" i="76" s="1"/>
  <c r="S135" i="76" s="1"/>
  <c r="E134" i="76"/>
  <c r="M133" i="76"/>
  <c r="S133" i="76" s="1"/>
  <c r="E133" i="76"/>
  <c r="R132" i="76"/>
  <c r="L132" i="76"/>
  <c r="K132" i="76"/>
  <c r="J132" i="76"/>
  <c r="I132" i="76"/>
  <c r="H132" i="76"/>
  <c r="G132" i="76"/>
  <c r="F132" i="76"/>
  <c r="M131" i="76"/>
  <c r="S131" i="76" s="1"/>
  <c r="E131" i="76"/>
  <c r="E130" i="76"/>
  <c r="M130" i="76" s="1"/>
  <c r="S130" i="76" s="1"/>
  <c r="E129" i="76"/>
  <c r="M129" i="76" s="1"/>
  <c r="S129" i="76" s="1"/>
  <c r="E128" i="76"/>
  <c r="M128" i="76" s="1"/>
  <c r="M127" i="76"/>
  <c r="S127" i="76" s="1"/>
  <c r="E127" i="76"/>
  <c r="R126" i="76"/>
  <c r="L126" i="76"/>
  <c r="J126" i="76"/>
  <c r="I126" i="76"/>
  <c r="H126" i="76"/>
  <c r="G126" i="76"/>
  <c r="F126" i="76"/>
  <c r="E125" i="76"/>
  <c r="M125" i="76" s="1"/>
  <c r="S125" i="76" s="1"/>
  <c r="E124" i="76"/>
  <c r="M124" i="76" s="1"/>
  <c r="S124" i="76" s="1"/>
  <c r="M123" i="76"/>
  <c r="S123" i="76" s="1"/>
  <c r="E123" i="76"/>
  <c r="E122" i="76"/>
  <c r="M122" i="76" s="1"/>
  <c r="S122" i="76" s="1"/>
  <c r="E121" i="76"/>
  <c r="M121" i="76" s="1"/>
  <c r="S121" i="76" s="1"/>
  <c r="E120" i="76"/>
  <c r="M120" i="76" s="1"/>
  <c r="S120" i="76" s="1"/>
  <c r="M119" i="76"/>
  <c r="S119" i="76" s="1"/>
  <c r="E119" i="76"/>
  <c r="E118" i="76"/>
  <c r="M118" i="76" s="1"/>
  <c r="S118" i="76" s="1"/>
  <c r="E117" i="76"/>
  <c r="M117" i="76" s="1"/>
  <c r="S117" i="76" s="1"/>
  <c r="E116" i="76"/>
  <c r="M116" i="76" s="1"/>
  <c r="S116" i="76" s="1"/>
  <c r="M115" i="76"/>
  <c r="S115" i="76" s="1"/>
  <c r="E115" i="76"/>
  <c r="E114" i="76"/>
  <c r="M114" i="76" s="1"/>
  <c r="S114" i="76" s="1"/>
  <c r="E113" i="76"/>
  <c r="M113" i="76" s="1"/>
  <c r="S113" i="76" s="1"/>
  <c r="E112" i="76"/>
  <c r="M112" i="76" s="1"/>
  <c r="S112" i="76" s="1"/>
  <c r="M111" i="76"/>
  <c r="S111" i="76" s="1"/>
  <c r="E111" i="76"/>
  <c r="E110" i="76"/>
  <c r="M110" i="76" s="1"/>
  <c r="S110" i="76" s="1"/>
  <c r="E109" i="76"/>
  <c r="M109" i="76" s="1"/>
  <c r="S109" i="76" s="1"/>
  <c r="K108" i="76"/>
  <c r="K126" i="76" s="1"/>
  <c r="R107" i="76"/>
  <c r="L107" i="76"/>
  <c r="K107" i="76"/>
  <c r="J107" i="76"/>
  <c r="I107" i="76"/>
  <c r="H107" i="76"/>
  <c r="G107" i="76"/>
  <c r="F107" i="76"/>
  <c r="M106" i="76"/>
  <c r="S106" i="76" s="1"/>
  <c r="E106" i="76"/>
  <c r="E105" i="76"/>
  <c r="M105" i="76" s="1"/>
  <c r="S105" i="76" s="1"/>
  <c r="E104" i="76"/>
  <c r="M104" i="76" s="1"/>
  <c r="S104" i="76" s="1"/>
  <c r="E103" i="76"/>
  <c r="M103" i="76" s="1"/>
  <c r="S103" i="76" s="1"/>
  <c r="M102" i="76"/>
  <c r="S102" i="76" s="1"/>
  <c r="E102" i="76"/>
  <c r="E101" i="76"/>
  <c r="M101" i="76" s="1"/>
  <c r="S101" i="76" s="1"/>
  <c r="E100" i="76"/>
  <c r="M100" i="76" s="1"/>
  <c r="S100" i="76" s="1"/>
  <c r="E99" i="76"/>
  <c r="M99" i="76" s="1"/>
  <c r="M98" i="76"/>
  <c r="S98" i="76" s="1"/>
  <c r="E98" i="76"/>
  <c r="R97" i="76"/>
  <c r="L97" i="76"/>
  <c r="J97" i="76"/>
  <c r="I97" i="76"/>
  <c r="H97" i="76"/>
  <c r="G97" i="76"/>
  <c r="F97" i="76"/>
  <c r="M96" i="76"/>
  <c r="S96" i="76" s="1"/>
  <c r="E96" i="76"/>
  <c r="E95" i="76"/>
  <c r="M95" i="76" s="1"/>
  <c r="S95" i="76" s="1"/>
  <c r="E94" i="76"/>
  <c r="M94" i="76" s="1"/>
  <c r="S94" i="76" s="1"/>
  <c r="E93" i="76"/>
  <c r="M93" i="76" s="1"/>
  <c r="S93" i="76" s="1"/>
  <c r="M92" i="76"/>
  <c r="S92" i="76" s="1"/>
  <c r="E92" i="76"/>
  <c r="E91" i="76"/>
  <c r="M91" i="76" s="1"/>
  <c r="S91" i="76" s="1"/>
  <c r="E90" i="76"/>
  <c r="M90" i="76" s="1"/>
  <c r="S90" i="76" s="1"/>
  <c r="E89" i="76"/>
  <c r="M89" i="76" s="1"/>
  <c r="S89" i="76" s="1"/>
  <c r="M88" i="76"/>
  <c r="S88" i="76" s="1"/>
  <c r="E88" i="76"/>
  <c r="E87" i="76"/>
  <c r="M87" i="76" s="1"/>
  <c r="S87" i="76" s="1"/>
  <c r="E86" i="76"/>
  <c r="M86" i="76" s="1"/>
  <c r="S86" i="76" s="1"/>
  <c r="E85" i="76"/>
  <c r="M85" i="76" s="1"/>
  <c r="S85" i="76" s="1"/>
  <c r="M84" i="76"/>
  <c r="S84" i="76" s="1"/>
  <c r="E84" i="76"/>
  <c r="E83" i="76"/>
  <c r="M83" i="76" s="1"/>
  <c r="S83" i="76" s="1"/>
  <c r="E82" i="76"/>
  <c r="M82" i="76" s="1"/>
  <c r="S82" i="76" s="1"/>
  <c r="E81" i="76"/>
  <c r="M81" i="76" s="1"/>
  <c r="S81" i="76" s="1"/>
  <c r="M80" i="76"/>
  <c r="S80" i="76" s="1"/>
  <c r="E80" i="76"/>
  <c r="E79" i="76"/>
  <c r="M79" i="76" s="1"/>
  <c r="S79" i="76" s="1"/>
  <c r="E78" i="76"/>
  <c r="M78" i="76" s="1"/>
  <c r="S78" i="76" s="1"/>
  <c r="E77" i="76"/>
  <c r="M77" i="76" s="1"/>
  <c r="S77" i="76" s="1"/>
  <c r="K76" i="76"/>
  <c r="K97" i="76" s="1"/>
  <c r="E76" i="76"/>
  <c r="M76" i="76" s="1"/>
  <c r="S76" i="76" s="1"/>
  <c r="E75" i="76"/>
  <c r="M75" i="76" s="1"/>
  <c r="S75" i="76" s="1"/>
  <c r="E74" i="76"/>
  <c r="M74" i="76" s="1"/>
  <c r="S74" i="76" s="1"/>
  <c r="M73" i="76"/>
  <c r="S73" i="76" s="1"/>
  <c r="E73" i="76"/>
  <c r="E72" i="76"/>
  <c r="M72" i="76" s="1"/>
  <c r="S72" i="76" s="1"/>
  <c r="E71" i="76"/>
  <c r="M71" i="76" s="1"/>
  <c r="S71" i="76" s="1"/>
  <c r="E70" i="76"/>
  <c r="M70" i="76" s="1"/>
  <c r="S70" i="76" s="1"/>
  <c r="M69" i="76"/>
  <c r="S69" i="76" s="1"/>
  <c r="E69" i="76"/>
  <c r="E68" i="76"/>
  <c r="M68" i="76" s="1"/>
  <c r="S68" i="76" s="1"/>
  <c r="E67" i="76"/>
  <c r="E97" i="76" s="1"/>
  <c r="R66" i="76"/>
  <c r="L66" i="76"/>
  <c r="K66" i="76"/>
  <c r="J66" i="76"/>
  <c r="I66" i="76"/>
  <c r="H66" i="76"/>
  <c r="G66" i="76"/>
  <c r="F66" i="76"/>
  <c r="M65" i="76"/>
  <c r="S65" i="76" s="1"/>
  <c r="E65" i="76"/>
  <c r="E64" i="76"/>
  <c r="M64" i="76" s="1"/>
  <c r="S64" i="76" s="1"/>
  <c r="E63" i="76"/>
  <c r="E66" i="76" s="1"/>
  <c r="E62" i="76"/>
  <c r="M62" i="76" s="1"/>
  <c r="S62" i="76" s="1"/>
  <c r="R61" i="76"/>
  <c r="L61" i="76"/>
  <c r="K61" i="76"/>
  <c r="J61" i="76"/>
  <c r="I61" i="76"/>
  <c r="H61" i="76"/>
  <c r="G61" i="76"/>
  <c r="F61" i="76"/>
  <c r="E60" i="76"/>
  <c r="M60" i="76" s="1"/>
  <c r="S60" i="76" s="1"/>
  <c r="E59" i="76"/>
  <c r="M59" i="76" s="1"/>
  <c r="S59" i="76" s="1"/>
  <c r="E58" i="76"/>
  <c r="M58" i="76" s="1"/>
  <c r="S58" i="76" s="1"/>
  <c r="M57" i="76"/>
  <c r="S57" i="76" s="1"/>
  <c r="E57" i="76"/>
  <c r="E56" i="76"/>
  <c r="M56" i="76" s="1"/>
  <c r="S56" i="76" s="1"/>
  <c r="E55" i="76"/>
  <c r="M55" i="76" s="1"/>
  <c r="S55" i="76" s="1"/>
  <c r="E54" i="76"/>
  <c r="M54" i="76" s="1"/>
  <c r="S54" i="76" s="1"/>
  <c r="M53" i="76"/>
  <c r="S53" i="76" s="1"/>
  <c r="E53" i="76"/>
  <c r="E52" i="76"/>
  <c r="M52" i="76" s="1"/>
  <c r="S52" i="76" s="1"/>
  <c r="E51" i="76"/>
  <c r="M51" i="76" s="1"/>
  <c r="S51" i="76" s="1"/>
  <c r="E50" i="76"/>
  <c r="M50" i="76" s="1"/>
  <c r="S50" i="76" s="1"/>
  <c r="M49" i="76"/>
  <c r="S49" i="76" s="1"/>
  <c r="E49" i="76"/>
  <c r="E48" i="76"/>
  <c r="M48" i="76" s="1"/>
  <c r="S48" i="76" s="1"/>
  <c r="E47" i="76"/>
  <c r="M47" i="76" s="1"/>
  <c r="S47" i="76" s="1"/>
  <c r="E46" i="76"/>
  <c r="M46" i="76" s="1"/>
  <c r="S46" i="76" s="1"/>
  <c r="M45" i="76"/>
  <c r="S45" i="76" s="1"/>
  <c r="E45" i="76"/>
  <c r="E44" i="76"/>
  <c r="M44" i="76" s="1"/>
  <c r="S44" i="76" s="1"/>
  <c r="E43" i="76"/>
  <c r="M43" i="76" s="1"/>
  <c r="S43" i="76" s="1"/>
  <c r="E42" i="76"/>
  <c r="M42" i="76" s="1"/>
  <c r="S42" i="76" s="1"/>
  <c r="M41" i="76"/>
  <c r="S41" i="76" s="1"/>
  <c r="E41" i="76"/>
  <c r="E40" i="76"/>
  <c r="M40" i="76" s="1"/>
  <c r="S40" i="76" s="1"/>
  <c r="E39" i="76"/>
  <c r="M39" i="76" s="1"/>
  <c r="S39" i="76" s="1"/>
  <c r="E38" i="76"/>
  <c r="M38" i="76" s="1"/>
  <c r="S38" i="76" s="1"/>
  <c r="M37" i="76"/>
  <c r="S37" i="76" s="1"/>
  <c r="E37" i="76"/>
  <c r="E36" i="76"/>
  <c r="M36" i="76" s="1"/>
  <c r="S36" i="76" s="1"/>
  <c r="E35" i="76"/>
  <c r="M35" i="76" s="1"/>
  <c r="S35" i="76" s="1"/>
  <c r="E34" i="76"/>
  <c r="M34" i="76" s="1"/>
  <c r="S34" i="76" s="1"/>
  <c r="M33" i="76"/>
  <c r="S33" i="76" s="1"/>
  <c r="E33" i="76"/>
  <c r="E32" i="76"/>
  <c r="M32" i="76" s="1"/>
  <c r="S32" i="76" s="1"/>
  <c r="E31" i="76"/>
  <c r="M31" i="76" s="1"/>
  <c r="S31" i="76" s="1"/>
  <c r="E30" i="76"/>
  <c r="M30" i="76" s="1"/>
  <c r="S30" i="76" s="1"/>
  <c r="M29" i="76"/>
  <c r="S29" i="76" s="1"/>
  <c r="E29" i="76"/>
  <c r="E28" i="76"/>
  <c r="M28" i="76" s="1"/>
  <c r="S28" i="76" s="1"/>
  <c r="E27" i="76"/>
  <c r="M27" i="76" s="1"/>
  <c r="S27" i="76" s="1"/>
  <c r="E26" i="76"/>
  <c r="M26" i="76" s="1"/>
  <c r="S26" i="76" s="1"/>
  <c r="M25" i="76"/>
  <c r="S25" i="76" s="1"/>
  <c r="E25" i="76"/>
  <c r="E24" i="76"/>
  <c r="M24" i="76" s="1"/>
  <c r="S24" i="76" s="1"/>
  <c r="E23" i="76"/>
  <c r="M23" i="76" s="1"/>
  <c r="S23" i="76" s="1"/>
  <c r="E22" i="76"/>
  <c r="M22" i="76" s="1"/>
  <c r="S22" i="76" s="1"/>
  <c r="M21" i="76"/>
  <c r="S21" i="76" s="1"/>
  <c r="E21" i="76"/>
  <c r="E20" i="76"/>
  <c r="M20" i="76" s="1"/>
  <c r="S20" i="76" s="1"/>
  <c r="E19" i="76"/>
  <c r="M19" i="76" s="1"/>
  <c r="S19" i="76" s="1"/>
  <c r="E18" i="76"/>
  <c r="M18" i="76" s="1"/>
  <c r="S18" i="76" s="1"/>
  <c r="M17" i="76"/>
  <c r="S17" i="76" s="1"/>
  <c r="E17" i="76"/>
  <c r="E16" i="76"/>
  <c r="M16" i="76" s="1"/>
  <c r="S16" i="76" s="1"/>
  <c r="E15" i="76"/>
  <c r="M15" i="76" s="1"/>
  <c r="S15" i="76" s="1"/>
  <c r="E14" i="76"/>
  <c r="M14" i="76" s="1"/>
  <c r="S14" i="76" s="1"/>
  <c r="M13" i="76"/>
  <c r="S13" i="76" s="1"/>
  <c r="E13" i="76"/>
  <c r="E12" i="76"/>
  <c r="M12" i="76" s="1"/>
  <c r="S12" i="76" s="1"/>
  <c r="E11" i="76"/>
  <c r="M11" i="76" s="1"/>
  <c r="S11" i="76" s="1"/>
  <c r="E10" i="76"/>
  <c r="M10" i="76" s="1"/>
  <c r="S10" i="76" s="1"/>
  <c r="M9" i="76"/>
  <c r="S9" i="76" s="1"/>
  <c r="E9" i="76"/>
  <c r="E8" i="76"/>
  <c r="M8" i="76" s="1"/>
  <c r="S8" i="76" s="1"/>
  <c r="E7" i="76"/>
  <c r="E61" i="76" s="1"/>
  <c r="I127" i="75"/>
  <c r="J127" i="75" s="1"/>
  <c r="I124" i="75"/>
  <c r="H124" i="75"/>
  <c r="J124" i="75" s="1"/>
  <c r="I123" i="75"/>
  <c r="H123" i="75"/>
  <c r="I122" i="75"/>
  <c r="H122" i="75"/>
  <c r="J122" i="75" s="1"/>
  <c r="I120" i="75"/>
  <c r="I121" i="75" s="1"/>
  <c r="H120" i="75"/>
  <c r="J119" i="75"/>
  <c r="J118" i="75"/>
  <c r="J117" i="75"/>
  <c r="J116" i="75"/>
  <c r="J115" i="75"/>
  <c r="J114" i="75"/>
  <c r="J113" i="75"/>
  <c r="J112" i="75"/>
  <c r="J111" i="75"/>
  <c r="J109" i="75"/>
  <c r="I108" i="75"/>
  <c r="H108" i="75"/>
  <c r="J108" i="75" s="1"/>
  <c r="I107" i="75"/>
  <c r="H107" i="75"/>
  <c r="J107" i="75" s="1"/>
  <c r="J106" i="75"/>
  <c r="I105" i="75"/>
  <c r="H105" i="75"/>
  <c r="J105" i="75" s="1"/>
  <c r="I104" i="75"/>
  <c r="H104" i="75"/>
  <c r="J103" i="75"/>
  <c r="I102" i="75"/>
  <c r="H102" i="75"/>
  <c r="J102" i="75" s="1"/>
  <c r="J101" i="75"/>
  <c r="I100" i="75"/>
  <c r="I110" i="75" s="1"/>
  <c r="H100" i="75"/>
  <c r="J99" i="75"/>
  <c r="J97" i="75"/>
  <c r="J96" i="75"/>
  <c r="I95" i="75"/>
  <c r="H95" i="75"/>
  <c r="J95" i="75" s="1"/>
  <c r="I94" i="75"/>
  <c r="H94" i="75"/>
  <c r="I93" i="75"/>
  <c r="H93" i="75"/>
  <c r="I92" i="75"/>
  <c r="H92" i="75"/>
  <c r="H98" i="75" s="1"/>
  <c r="J90" i="75"/>
  <c r="J89" i="75"/>
  <c r="J88" i="75"/>
  <c r="I87" i="75"/>
  <c r="H87" i="75"/>
  <c r="J86" i="75"/>
  <c r="J85" i="75"/>
  <c r="F85" i="75"/>
  <c r="F86" i="75" s="1"/>
  <c r="F87" i="75" s="1"/>
  <c r="I84" i="75"/>
  <c r="H84" i="75"/>
  <c r="J84" i="75" s="1"/>
  <c r="J83" i="75"/>
  <c r="J82" i="75"/>
  <c r="J81" i="75"/>
  <c r="F81" i="75"/>
  <c r="F82" i="75" s="1"/>
  <c r="F83" i="75" s="1"/>
  <c r="I80" i="75"/>
  <c r="I91" i="75" s="1"/>
  <c r="H80" i="75"/>
  <c r="J79" i="75"/>
  <c r="J78" i="75"/>
  <c r="F78" i="75"/>
  <c r="F79" i="75" s="1"/>
  <c r="J77" i="75"/>
  <c r="J75" i="75"/>
  <c r="J74" i="75"/>
  <c r="J73" i="75"/>
  <c r="I72" i="75"/>
  <c r="H72" i="75"/>
  <c r="J72" i="75" s="1"/>
  <c r="I71" i="75"/>
  <c r="H71" i="75"/>
  <c r="J71" i="75" s="1"/>
  <c r="I70" i="75"/>
  <c r="H70" i="75"/>
  <c r="J70" i="75" s="1"/>
  <c r="I68" i="75"/>
  <c r="H68" i="75"/>
  <c r="J68" i="75" s="1"/>
  <c r="J67" i="75"/>
  <c r="J66" i="75"/>
  <c r="J65" i="75"/>
  <c r="J64" i="75"/>
  <c r="I63" i="75"/>
  <c r="I69" i="75" s="1"/>
  <c r="H63" i="75"/>
  <c r="H69" i="75" s="1"/>
  <c r="J61" i="75"/>
  <c r="J60" i="75"/>
  <c r="J59" i="75"/>
  <c r="J58" i="75"/>
  <c r="J57" i="75"/>
  <c r="J56" i="75"/>
  <c r="J55" i="75"/>
  <c r="F55" i="75"/>
  <c r="F56" i="75" s="1"/>
  <c r="F57" i="75" s="1"/>
  <c r="F58" i="75" s="1"/>
  <c r="F59" i="75" s="1"/>
  <c r="F60" i="75" s="1"/>
  <c r="J54" i="75"/>
  <c r="J53" i="75"/>
  <c r="J52" i="75"/>
  <c r="J51" i="75"/>
  <c r="J50" i="75"/>
  <c r="I49" i="75"/>
  <c r="H49" i="75"/>
  <c r="J49" i="75" s="1"/>
  <c r="J48" i="75"/>
  <c r="J47" i="75"/>
  <c r="J46" i="75"/>
  <c r="I45" i="75"/>
  <c r="H45" i="75"/>
  <c r="I44" i="75"/>
  <c r="H44" i="75"/>
  <c r="J44" i="75" s="1"/>
  <c r="I43" i="75"/>
  <c r="H43" i="75"/>
  <c r="J43" i="75" s="1"/>
  <c r="J42" i="75"/>
  <c r="J41" i="75"/>
  <c r="J40" i="75"/>
  <c r="I39" i="75"/>
  <c r="H39" i="75"/>
  <c r="J39" i="75" s="1"/>
  <c r="J38" i="75"/>
  <c r="J37" i="75"/>
  <c r="J36" i="75"/>
  <c r="J35" i="75"/>
  <c r="J34" i="75"/>
  <c r="I33" i="75"/>
  <c r="H33" i="75"/>
  <c r="I32" i="75"/>
  <c r="H32" i="75"/>
  <c r="J32" i="75" s="1"/>
  <c r="I31" i="75"/>
  <c r="H31" i="75"/>
  <c r="J31" i="75" s="1"/>
  <c r="I30" i="75"/>
  <c r="I62" i="75" s="1"/>
  <c r="H30" i="75"/>
  <c r="J28" i="75"/>
  <c r="J27" i="75"/>
  <c r="J26" i="75"/>
  <c r="I25" i="75"/>
  <c r="H25" i="75"/>
  <c r="J25" i="75" s="1"/>
  <c r="I24" i="75"/>
  <c r="I29" i="75" s="1"/>
  <c r="H24" i="75"/>
  <c r="J24" i="75" s="1"/>
  <c r="J23" i="75"/>
  <c r="J21" i="75"/>
  <c r="J20" i="75"/>
  <c r="I19" i="75"/>
  <c r="H19" i="75"/>
  <c r="J19" i="75" s="1"/>
  <c r="J18" i="75"/>
  <c r="J17" i="75"/>
  <c r="I16" i="75"/>
  <c r="H16" i="75"/>
  <c r="J16" i="75" s="1"/>
  <c r="I15" i="75"/>
  <c r="H15" i="75"/>
  <c r="J15" i="75" s="1"/>
  <c r="I14" i="75"/>
  <c r="H14" i="75"/>
  <c r="J14" i="75" s="1"/>
  <c r="I13" i="75"/>
  <c r="H13" i="75"/>
  <c r="J13" i="75" s="1"/>
  <c r="J12" i="75"/>
  <c r="J11" i="75"/>
  <c r="I10" i="75"/>
  <c r="H10" i="75"/>
  <c r="J10" i="75" s="1"/>
  <c r="I9" i="75"/>
  <c r="H9" i="75"/>
  <c r="J9" i="75" s="1"/>
  <c r="I8" i="75"/>
  <c r="H8" i="75"/>
  <c r="H29" i="75" l="1"/>
  <c r="J76" i="75"/>
  <c r="J92" i="75"/>
  <c r="I98" i="75"/>
  <c r="R147" i="76"/>
  <c r="M140" i="76"/>
  <c r="H22" i="75"/>
  <c r="J8" i="75"/>
  <c r="J22" i="75" s="1"/>
  <c r="I22" i="75"/>
  <c r="J29" i="75"/>
  <c r="J30" i="75"/>
  <c r="J33" i="75"/>
  <c r="J45" i="75"/>
  <c r="J63" i="75"/>
  <c r="J69" i="75" s="1"/>
  <c r="I76" i="75"/>
  <c r="J80" i="75"/>
  <c r="J87" i="75"/>
  <c r="J93" i="75"/>
  <c r="J94" i="75"/>
  <c r="H110" i="75"/>
  <c r="J104" i="75"/>
  <c r="J120" i="75"/>
  <c r="H121" i="75"/>
  <c r="M7" i="76"/>
  <c r="H147" i="76"/>
  <c r="L147" i="76"/>
  <c r="M63" i="76"/>
  <c r="S63" i="76" s="1"/>
  <c r="S66" i="76" s="1"/>
  <c r="M67" i="76"/>
  <c r="S67" i="76" s="1"/>
  <c r="F147" i="76"/>
  <c r="J147" i="76"/>
  <c r="E138" i="76"/>
  <c r="E146" i="76"/>
  <c r="E153" i="76"/>
  <c r="E154" i="76" s="1"/>
  <c r="M151" i="76"/>
  <c r="F218" i="76"/>
  <c r="J218" i="76"/>
  <c r="L218" i="76"/>
  <c r="E211" i="76"/>
  <c r="G218" i="76"/>
  <c r="I218" i="76"/>
  <c r="K218" i="76"/>
  <c r="E225" i="76"/>
  <c r="G226" i="76"/>
  <c r="I226" i="76"/>
  <c r="K226" i="76"/>
  <c r="F252" i="76"/>
  <c r="J252" i="76"/>
  <c r="E251" i="76"/>
  <c r="M246" i="76"/>
  <c r="S246" i="76" s="1"/>
  <c r="G252" i="76"/>
  <c r="E265" i="76"/>
  <c r="H270" i="76"/>
  <c r="L270" i="76"/>
  <c r="F298" i="76"/>
  <c r="H298" i="76"/>
  <c r="J298" i="76"/>
  <c r="L298" i="76"/>
  <c r="G326" i="76"/>
  <c r="K326" i="76"/>
  <c r="R326" i="76"/>
  <c r="G147" i="76"/>
  <c r="I147" i="76"/>
  <c r="G154" i="76"/>
  <c r="I154" i="76"/>
  <c r="K154" i="76"/>
  <c r="F154" i="76"/>
  <c r="H154" i="76"/>
  <c r="J154" i="76"/>
  <c r="L154" i="76"/>
  <c r="E168" i="76"/>
  <c r="M168" i="76" s="1"/>
  <c r="S168" i="76" s="1"/>
  <c r="E201" i="76"/>
  <c r="M202" i="76"/>
  <c r="S202" i="76" s="1"/>
  <c r="R218" i="76"/>
  <c r="E209" i="76"/>
  <c r="M220" i="76"/>
  <c r="R252" i="76"/>
  <c r="H252" i="76"/>
  <c r="I252" i="76"/>
  <c r="K252" i="76"/>
  <c r="M254" i="76"/>
  <c r="S254" i="76" s="1"/>
  <c r="M266" i="76"/>
  <c r="S266" i="76" s="1"/>
  <c r="G270" i="76"/>
  <c r="I270" i="76"/>
  <c r="K270" i="76"/>
  <c r="M282" i="76"/>
  <c r="R298" i="76"/>
  <c r="E297" i="76"/>
  <c r="G298" i="76"/>
  <c r="I298" i="76"/>
  <c r="K298" i="76"/>
  <c r="F303" i="76"/>
  <c r="E304" i="76"/>
  <c r="I326" i="76"/>
  <c r="M307" i="76"/>
  <c r="M310" i="76"/>
  <c r="E317" i="76"/>
  <c r="M317" i="76" s="1"/>
  <c r="S317" i="76" s="1"/>
  <c r="E323" i="76"/>
  <c r="J326" i="76"/>
  <c r="L326" i="76"/>
  <c r="E332" i="76"/>
  <c r="H334" i="76"/>
  <c r="S273" i="76"/>
  <c r="M281" i="76"/>
  <c r="M297" i="76"/>
  <c r="S295" i="76"/>
  <c r="S297" i="76" s="1"/>
  <c r="S223" i="76"/>
  <c r="S225" i="76" s="1"/>
  <c r="M225" i="76"/>
  <c r="S293" i="76"/>
  <c r="S294" i="76" s="1"/>
  <c r="M294" i="76"/>
  <c r="L339" i="76"/>
  <c r="S206" i="76"/>
  <c r="S281" i="76"/>
  <c r="M322" i="76"/>
  <c r="G339" i="76"/>
  <c r="S99" i="76"/>
  <c r="M107" i="76"/>
  <c r="S128" i="76"/>
  <c r="S132" i="76" s="1"/>
  <c r="M132" i="76"/>
  <c r="M201" i="76"/>
  <c r="S199" i="76"/>
  <c r="S201" i="76" s="1"/>
  <c r="E334" i="76"/>
  <c r="M333" i="76"/>
  <c r="S97" i="76"/>
  <c r="H218" i="76"/>
  <c r="H339" i="76" s="1"/>
  <c r="E226" i="76"/>
  <c r="M209" i="76"/>
  <c r="S207" i="76"/>
  <c r="S209" i="76" s="1"/>
  <c r="S236" i="76"/>
  <c r="S244" i="76" s="1"/>
  <c r="M244" i="76"/>
  <c r="M179" i="76"/>
  <c r="S156" i="76"/>
  <c r="S179" i="76" s="1"/>
  <c r="S189" i="76"/>
  <c r="S198" i="76" s="1"/>
  <c r="M198" i="76"/>
  <c r="S213" i="76"/>
  <c r="M217" i="76"/>
  <c r="E303" i="76"/>
  <c r="M300" i="76"/>
  <c r="E325" i="76"/>
  <c r="M323" i="76"/>
  <c r="S335" i="76"/>
  <c r="S336" i="76" s="1"/>
  <c r="M336" i="76"/>
  <c r="S217" i="76"/>
  <c r="M61" i="76"/>
  <c r="S107" i="76"/>
  <c r="K147" i="76"/>
  <c r="K339" i="76" s="1"/>
  <c r="M153" i="76"/>
  <c r="M222" i="76"/>
  <c r="M234" i="76"/>
  <c r="S251" i="76"/>
  <c r="S259" i="76"/>
  <c r="S269" i="76"/>
  <c r="E270" i="76"/>
  <c r="M292" i="76"/>
  <c r="I339" i="76"/>
  <c r="R339" i="76"/>
  <c r="E107" i="76"/>
  <c r="M259" i="76"/>
  <c r="E108" i="76"/>
  <c r="M134" i="76"/>
  <c r="S134" i="76" s="1"/>
  <c r="S138" i="76" s="1"/>
  <c r="M142" i="76"/>
  <c r="S142" i="76" s="1"/>
  <c r="S146" i="76" s="1"/>
  <c r="S151" i="76"/>
  <c r="S153" i="76" s="1"/>
  <c r="S154" i="76" s="1"/>
  <c r="S180" i="76"/>
  <c r="S182" i="76" s="1"/>
  <c r="M183" i="76"/>
  <c r="E198" i="76"/>
  <c r="M206" i="76"/>
  <c r="S220" i="76"/>
  <c r="S222" i="76" s="1"/>
  <c r="S228" i="76"/>
  <c r="S234" i="76" s="1"/>
  <c r="M261" i="76"/>
  <c r="S261" i="76" s="1"/>
  <c r="S265" i="76" s="1"/>
  <c r="E294" i="76"/>
  <c r="S310" i="76"/>
  <c r="S322" i="76" s="1"/>
  <c r="M328" i="76"/>
  <c r="E336" i="76"/>
  <c r="E337" i="76"/>
  <c r="M66" i="76"/>
  <c r="E132" i="76"/>
  <c r="E217" i="76"/>
  <c r="E281" i="76"/>
  <c r="M97" i="76"/>
  <c r="M138" i="76"/>
  <c r="M146" i="76"/>
  <c r="M150" i="76"/>
  <c r="E179" i="76"/>
  <c r="M211" i="76"/>
  <c r="E234" i="76"/>
  <c r="M251" i="76"/>
  <c r="M252" i="76" s="1"/>
  <c r="M265" i="76"/>
  <c r="M309" i="76"/>
  <c r="F325" i="76"/>
  <c r="F326" i="76" s="1"/>
  <c r="F339" i="76" s="1"/>
  <c r="E244" i="76"/>
  <c r="E252" i="76" s="1"/>
  <c r="S7" i="76"/>
  <c r="S61" i="76" s="1"/>
  <c r="S282" i="76"/>
  <c r="S292" i="76" s="1"/>
  <c r="I125" i="75"/>
  <c r="I128" i="75" s="1"/>
  <c r="J98" i="75"/>
  <c r="J62" i="75"/>
  <c r="J91" i="75"/>
  <c r="J121" i="75"/>
  <c r="H62" i="75"/>
  <c r="H76" i="75"/>
  <c r="H91" i="75"/>
  <c r="H125" i="75" s="1"/>
  <c r="H128" i="75" s="1"/>
  <c r="J100" i="75"/>
  <c r="J110" i="75" s="1"/>
  <c r="J123" i="75"/>
  <c r="M298" i="76" l="1"/>
  <c r="E305" i="76"/>
  <c r="M304" i="76"/>
  <c r="M269" i="76"/>
  <c r="M270" i="76" s="1"/>
  <c r="E298" i="76"/>
  <c r="E322" i="76"/>
  <c r="E326" i="76" s="1"/>
  <c r="E339" i="76" s="1"/>
  <c r="M332" i="76"/>
  <c r="S328" i="76"/>
  <c r="S332" i="76" s="1"/>
  <c r="M188" i="76"/>
  <c r="M218" i="76" s="1"/>
  <c r="S183" i="76"/>
  <c r="S188" i="76" s="1"/>
  <c r="M325" i="76"/>
  <c r="S323" i="76"/>
  <c r="S325" i="76" s="1"/>
  <c r="M334" i="76"/>
  <c r="S333" i="76"/>
  <c r="S334" i="76" s="1"/>
  <c r="S226" i="76"/>
  <c r="S270" i="76"/>
  <c r="M226" i="76"/>
  <c r="M108" i="76"/>
  <c r="E126" i="76"/>
  <c r="E147" i="76" s="1"/>
  <c r="M337" i="76"/>
  <c r="S300" i="76"/>
  <c r="S303" i="76" s="1"/>
  <c r="M303" i="76"/>
  <c r="S218" i="76"/>
  <c r="E218" i="76"/>
  <c r="S252" i="76"/>
  <c r="M154" i="76"/>
  <c r="S298" i="76"/>
  <c r="J125" i="75"/>
  <c r="J128" i="75" s="1"/>
  <c r="S304" i="76" l="1"/>
  <c r="S305" i="76" s="1"/>
  <c r="S326" i="76" s="1"/>
  <c r="M305" i="76"/>
  <c r="M126" i="76"/>
  <c r="M147" i="76" s="1"/>
  <c r="S108" i="76"/>
  <c r="S126" i="76" s="1"/>
  <c r="S147" i="76" s="1"/>
  <c r="M326" i="76"/>
  <c r="M339" i="76" s="1"/>
  <c r="S337" i="76"/>
  <c r="S339" i="76" l="1"/>
  <c r="G38" i="1"/>
  <c r="G39" i="1" s="1"/>
  <c r="G32" i="1"/>
  <c r="G18" i="1"/>
  <c r="G30" i="47"/>
  <c r="F30" i="47"/>
  <c r="G26" i="47"/>
  <c r="F26" i="47"/>
  <c r="E12" i="47"/>
  <c r="E11" i="47" s="1"/>
  <c r="F13" i="4"/>
  <c r="G34" i="1" l="1"/>
  <c r="G41" i="1" s="1"/>
  <c r="F18" i="4"/>
  <c r="F30" i="4"/>
  <c r="F35" i="4"/>
  <c r="F28" i="4"/>
  <c r="F27" i="4"/>
  <c r="F26" i="4"/>
  <c r="F24" i="4"/>
  <c r="F25" i="4"/>
  <c r="F16" i="4"/>
  <c r="F12" i="4"/>
  <c r="F13" i="73"/>
  <c r="F37" i="73"/>
  <c r="F12" i="68"/>
  <c r="F36" i="68"/>
  <c r="F25" i="73"/>
  <c r="F24" i="68"/>
  <c r="F41" i="73"/>
  <c r="F40" i="68"/>
  <c r="F11" i="68"/>
  <c r="F21" i="4" l="1"/>
  <c r="F22" i="4" s="1"/>
  <c r="F37" i="4"/>
  <c r="F38" i="4" s="1"/>
  <c r="E71" i="33"/>
  <c r="E12" i="27"/>
  <c r="F24" i="5" l="1"/>
  <c r="H37" i="1"/>
  <c r="H40" i="1"/>
  <c r="B24" i="1"/>
  <c r="H18" i="14"/>
  <c r="H33" i="67"/>
  <c r="G116" i="11"/>
  <c r="F116" i="11"/>
  <c r="E23" i="1" s="1"/>
  <c r="H23" i="1" s="1"/>
  <c r="H115" i="11"/>
  <c r="H114" i="11"/>
  <c r="H18" i="74"/>
  <c r="H33" i="72"/>
  <c r="G118" i="69"/>
  <c r="E26" i="4" s="1"/>
  <c r="F118" i="69"/>
  <c r="D23" i="5" s="1"/>
  <c r="H117" i="69"/>
  <c r="H116" i="69"/>
  <c r="F7" i="47"/>
  <c r="G10" i="45"/>
  <c r="J10" i="18"/>
  <c r="J11" i="18"/>
  <c r="J12" i="18"/>
  <c r="J13" i="18"/>
  <c r="J14" i="18"/>
  <c r="J15" i="18"/>
  <c r="J16" i="18"/>
  <c r="J17" i="18"/>
  <c r="J18" i="18"/>
  <c r="J19" i="18"/>
  <c r="J9" i="18"/>
  <c r="G10" i="18"/>
  <c r="L10" i="18" s="1"/>
  <c r="M10" i="18" s="1"/>
  <c r="G11" i="18"/>
  <c r="L11" i="18" s="1"/>
  <c r="M11" i="18" s="1"/>
  <c r="G12" i="18"/>
  <c r="L12" i="18" s="1"/>
  <c r="M12" i="18" s="1"/>
  <c r="G13" i="18"/>
  <c r="L13" i="18" s="1"/>
  <c r="M13" i="18" s="1"/>
  <c r="G14" i="18"/>
  <c r="L14" i="18" s="1"/>
  <c r="M14" i="18" s="1"/>
  <c r="G15" i="18"/>
  <c r="L15" i="18" s="1"/>
  <c r="M15" i="18" s="1"/>
  <c r="G16" i="18"/>
  <c r="L16" i="18" s="1"/>
  <c r="M16" i="18" s="1"/>
  <c r="G17" i="18"/>
  <c r="L17" i="18" s="1"/>
  <c r="M17" i="18" s="1"/>
  <c r="G18" i="18"/>
  <c r="L18" i="18" s="1"/>
  <c r="M18" i="18" s="1"/>
  <c r="G19" i="18"/>
  <c r="L19" i="18" s="1"/>
  <c r="M19" i="18" s="1"/>
  <c r="G9" i="18"/>
  <c r="L9" i="18" s="1"/>
  <c r="M9" i="18" s="1"/>
  <c r="E20" i="18"/>
  <c r="F20" i="18"/>
  <c r="H20" i="18"/>
  <c r="D26" i="18" s="1"/>
  <c r="F26" i="18" s="1"/>
  <c r="I20" i="18"/>
  <c r="D25" i="18" s="1"/>
  <c r="F25" i="18" s="1"/>
  <c r="D20" i="18"/>
  <c r="D24" i="24"/>
  <c r="E128" i="33"/>
  <c r="E118" i="33"/>
  <c r="E76" i="33"/>
  <c r="E18" i="33"/>
  <c r="H13" i="19"/>
  <c r="E7" i="22"/>
  <c r="G28" i="6"/>
  <c r="G13" i="45"/>
  <c r="G11" i="45"/>
  <c r="D26" i="4" l="1"/>
  <c r="G55" i="47" s="1"/>
  <c r="H116" i="11"/>
  <c r="H118" i="69"/>
  <c r="D19" i="19"/>
  <c r="F9" i="52"/>
  <c r="E34" i="32"/>
  <c r="G201" i="52"/>
  <c r="F22" i="52"/>
  <c r="H26" i="4" l="1"/>
  <c r="G26" i="4"/>
  <c r="F334" i="52"/>
  <c r="F34" i="67"/>
  <c r="F162" i="67"/>
  <c r="F117" i="67"/>
  <c r="F196" i="67"/>
  <c r="F85" i="67"/>
  <c r="E110" i="34"/>
  <c r="G13" i="19" l="1"/>
  <c r="G149" i="52"/>
  <c r="J9" i="46"/>
  <c r="J10" i="46"/>
  <c r="J11" i="46"/>
  <c r="J12" i="46"/>
  <c r="J13" i="46"/>
  <c r="J14" i="46"/>
  <c r="J15" i="46"/>
  <c r="J16" i="46"/>
  <c r="J17" i="46"/>
  <c r="J18" i="46"/>
  <c r="J19" i="46"/>
  <c r="J8" i="46"/>
  <c r="H20" i="46"/>
  <c r="F20" i="46"/>
  <c r="D20" i="46"/>
  <c r="J20" i="46" l="1"/>
  <c r="H17" i="51"/>
  <c r="G16" i="51"/>
  <c r="F16" i="51" s="1"/>
  <c r="E17" i="51"/>
  <c r="D16" i="51"/>
  <c r="J16" i="51" s="1"/>
  <c r="C16" i="51"/>
  <c r="I9" i="46"/>
  <c r="I10" i="46"/>
  <c r="I11" i="46"/>
  <c r="I12" i="46"/>
  <c r="I13" i="46"/>
  <c r="I14" i="46"/>
  <c r="I15" i="46"/>
  <c r="I16" i="46"/>
  <c r="I17" i="46"/>
  <c r="I18" i="46"/>
  <c r="I19" i="46"/>
  <c r="I8" i="46"/>
  <c r="I16" i="51" l="1"/>
  <c r="H13" i="42"/>
  <c r="D13" i="42"/>
  <c r="E13" i="42"/>
  <c r="F13" i="42"/>
  <c r="G13" i="42"/>
  <c r="C13" i="42"/>
  <c r="I10" i="42"/>
  <c r="I11" i="42"/>
  <c r="I12" i="42"/>
  <c r="I14" i="42"/>
  <c r="I17" i="42"/>
  <c r="I18" i="42"/>
  <c r="I13" i="42" l="1"/>
  <c r="K16" i="51"/>
  <c r="F341" i="52"/>
  <c r="G342" i="52" s="1"/>
  <c r="G340" i="52"/>
  <c r="G338" i="52"/>
  <c r="G336" i="52"/>
  <c r="G332" i="52" l="1"/>
  <c r="G176" i="52"/>
  <c r="G177" i="52" s="1"/>
  <c r="F8" i="53"/>
  <c r="G269" i="52"/>
  <c r="G264" i="52"/>
  <c r="G254" i="52"/>
  <c r="G252" i="52"/>
  <c r="G249" i="52"/>
  <c r="G241" i="52"/>
  <c r="G242" i="52" s="1"/>
  <c r="G236" i="52"/>
  <c r="G237" i="52" s="1"/>
  <c r="G228" i="52"/>
  <c r="G225" i="52"/>
  <c r="G223" i="52"/>
  <c r="G219" i="52"/>
  <c r="G217" i="52"/>
  <c r="G212" i="52"/>
  <c r="G213" i="52" s="1"/>
  <c r="G209" i="52"/>
  <c r="G210" i="52" s="1"/>
  <c r="G204" i="52"/>
  <c r="G205" i="52" s="1"/>
  <c r="G202" i="52"/>
  <c r="G193" i="52"/>
  <c r="G194" i="52" s="1"/>
  <c r="G190" i="52"/>
  <c r="G188" i="52"/>
  <c r="G183" i="52"/>
  <c r="G167" i="52"/>
  <c r="G168" i="52" s="1"/>
  <c r="G164" i="52"/>
  <c r="G165" i="52" s="1"/>
  <c r="G160" i="52"/>
  <c r="G161" i="52" s="1"/>
  <c r="G157" i="52"/>
  <c r="F154" i="52"/>
  <c r="G155" i="52" s="1"/>
  <c r="G229" i="52" l="1"/>
  <c r="G191" i="52"/>
  <c r="G333" i="52"/>
  <c r="G220" i="52"/>
  <c r="F15" i="52" l="1"/>
  <c r="F21" i="52"/>
  <c r="F24" i="52" l="1"/>
  <c r="F14" i="52"/>
  <c r="G41" i="52" l="1"/>
  <c r="G158" i="52" s="1"/>
  <c r="G343" i="52" s="1"/>
  <c r="E70" i="33" l="1"/>
  <c r="G19" i="32"/>
  <c r="G35" i="32"/>
  <c r="G30" i="32"/>
  <c r="G22" i="32"/>
  <c r="G23" i="32"/>
  <c r="G24" i="32"/>
  <c r="G25" i="32"/>
  <c r="G26" i="32"/>
  <c r="G27" i="32"/>
  <c r="G28" i="32"/>
  <c r="G17" i="32"/>
  <c r="G12" i="32"/>
  <c r="G9" i="32"/>
  <c r="G8" i="32"/>
  <c r="D8" i="4" l="1"/>
  <c r="E116" i="34"/>
  <c r="F69" i="68"/>
  <c r="F71" i="73"/>
  <c r="D38" i="5" l="1"/>
  <c r="D21" i="5"/>
  <c r="E14" i="1"/>
  <c r="E13" i="1"/>
  <c r="D24" i="4" l="1"/>
  <c r="C13" i="24"/>
  <c r="C12" i="24"/>
  <c r="E86" i="34"/>
  <c r="D120" i="34" l="1"/>
  <c r="E118" i="34"/>
  <c r="F54" i="68"/>
  <c r="F51" i="68"/>
  <c r="F47" i="68"/>
  <c r="F34" i="68"/>
  <c r="F21" i="68"/>
  <c r="F199" i="67" l="1"/>
  <c r="F191" i="67"/>
  <c r="F186" i="67"/>
  <c r="F148" i="67"/>
  <c r="F74" i="67"/>
  <c r="F49" i="72" l="1"/>
  <c r="F74" i="72"/>
  <c r="F13" i="74"/>
  <c r="D16" i="24"/>
  <c r="G11" i="19"/>
  <c r="H17" i="19"/>
  <c r="E18" i="22"/>
  <c r="E17" i="4"/>
  <c r="D45" i="5" l="1"/>
  <c r="D19" i="4"/>
  <c r="F15" i="14"/>
  <c r="F16" i="14"/>
  <c r="F13" i="14"/>
  <c r="F19" i="14" s="1"/>
  <c r="E27" i="1" s="1"/>
  <c r="F14" i="14"/>
  <c r="F15" i="74"/>
  <c r="F16" i="74"/>
  <c r="F14" i="74"/>
  <c r="F19" i="74" s="1"/>
  <c r="D28" i="5" l="1"/>
  <c r="D30" i="4"/>
  <c r="E43" i="4" s="1"/>
  <c r="F110" i="11"/>
  <c r="E22" i="1" s="1"/>
  <c r="F48" i="11"/>
  <c r="F112" i="69"/>
  <c r="D22" i="5" l="1"/>
  <c r="D25" i="4"/>
  <c r="F48" i="69"/>
  <c r="E20" i="9"/>
  <c r="E91" i="33"/>
  <c r="E10" i="27"/>
  <c r="G20" i="7"/>
  <c r="E96" i="33"/>
  <c r="E41" i="33"/>
  <c r="E121" i="33"/>
  <c r="E48" i="33"/>
  <c r="E28" i="33"/>
  <c r="E104" i="33"/>
  <c r="E61" i="33"/>
  <c r="E110" i="33"/>
  <c r="E89" i="33"/>
  <c r="E30" i="33"/>
  <c r="E78" i="33"/>
  <c r="E34" i="33"/>
  <c r="E72" i="33"/>
  <c r="E80" i="33"/>
  <c r="G16" i="14"/>
  <c r="G15" i="14"/>
  <c r="G14" i="14"/>
  <c r="G13" i="14"/>
  <c r="G16" i="74"/>
  <c r="G14" i="74"/>
  <c r="G13" i="74"/>
  <c r="H10" i="30"/>
  <c r="H11" i="30"/>
  <c r="H12" i="30"/>
  <c r="H13" i="30"/>
  <c r="H14" i="30"/>
  <c r="H15" i="30"/>
  <c r="H16" i="30"/>
  <c r="H17" i="30"/>
  <c r="H18" i="30"/>
  <c r="H19" i="30"/>
  <c r="H20" i="30"/>
  <c r="H21" i="30"/>
  <c r="H22" i="30"/>
  <c r="H23" i="30"/>
  <c r="H24" i="30"/>
  <c r="H25" i="30"/>
  <c r="H26" i="30"/>
  <c r="H27" i="30"/>
  <c r="H28" i="30"/>
  <c r="H29" i="30"/>
  <c r="H30" i="30"/>
  <c r="H31" i="30"/>
  <c r="H32" i="30"/>
  <c r="H33" i="30"/>
  <c r="H34" i="30"/>
  <c r="H35" i="30"/>
  <c r="H36" i="30"/>
  <c r="H37" i="30"/>
  <c r="H38" i="30"/>
  <c r="H39" i="30"/>
  <c r="H41" i="30"/>
  <c r="H42" i="30"/>
  <c r="H43" i="30"/>
  <c r="H44" i="30"/>
  <c r="H45" i="30"/>
  <c r="H46" i="30"/>
  <c r="H47" i="30"/>
  <c r="H48" i="30"/>
  <c r="H49" i="30"/>
  <c r="H50" i="30"/>
  <c r="H51" i="30"/>
  <c r="H52" i="30"/>
  <c r="H53" i="30"/>
  <c r="H54" i="30"/>
  <c r="H55" i="30"/>
  <c r="H56" i="30"/>
  <c r="H57" i="30"/>
  <c r="H58" i="30"/>
  <c r="H59" i="30"/>
  <c r="H60" i="30"/>
  <c r="H61" i="30"/>
  <c r="H62" i="30"/>
  <c r="H63" i="30"/>
  <c r="H64" i="30"/>
  <c r="H65" i="30"/>
  <c r="H66" i="30"/>
  <c r="H67" i="30"/>
  <c r="H68" i="30"/>
  <c r="H69" i="30"/>
  <c r="H70" i="30"/>
  <c r="H71" i="30"/>
  <c r="H72" i="30"/>
  <c r="H73" i="30"/>
  <c r="H74" i="30"/>
  <c r="H75" i="30"/>
  <c r="H76" i="30"/>
  <c r="H77" i="30"/>
  <c r="H78" i="30"/>
  <c r="H79" i="30"/>
  <c r="H80" i="30"/>
  <c r="H81" i="30"/>
  <c r="H82" i="30"/>
  <c r="H83" i="30"/>
  <c r="H84" i="30"/>
  <c r="H85" i="30"/>
  <c r="H86" i="30"/>
  <c r="H88" i="30"/>
  <c r="H89" i="30"/>
  <c r="H90" i="30"/>
  <c r="H91" i="30"/>
  <c r="H92" i="30"/>
  <c r="H93" i="30"/>
  <c r="H94" i="30"/>
  <c r="H96" i="30"/>
  <c r="H97" i="30"/>
  <c r="H98" i="30"/>
  <c r="H100" i="30"/>
  <c r="H101" i="30"/>
  <c r="H102" i="30"/>
  <c r="H103" i="30"/>
  <c r="H104" i="30"/>
  <c r="H105" i="30"/>
  <c r="H106" i="30"/>
  <c r="H107" i="30"/>
  <c r="H108" i="30"/>
  <c r="H109" i="30"/>
  <c r="H110" i="30"/>
  <c r="H111" i="30"/>
  <c r="H112" i="30"/>
  <c r="H113" i="30"/>
  <c r="H114" i="30"/>
  <c r="H115" i="30"/>
  <c r="H116" i="30"/>
  <c r="H117" i="30"/>
  <c r="H118" i="30"/>
  <c r="H119" i="30"/>
  <c r="H120" i="30"/>
  <c r="H121" i="30"/>
  <c r="H122" i="30"/>
  <c r="H123" i="30"/>
  <c r="H124" i="30"/>
  <c r="H125" i="30"/>
  <c r="H126" i="30"/>
  <c r="H127" i="30"/>
  <c r="H128" i="30"/>
  <c r="H129" i="30"/>
  <c r="H130" i="30"/>
  <c r="H131" i="30"/>
  <c r="H9" i="30"/>
  <c r="I19" i="74"/>
  <c r="H17" i="74"/>
  <c r="H16" i="74"/>
  <c r="G15" i="74"/>
  <c r="H15" i="74" s="1"/>
  <c r="H14" i="74"/>
  <c r="H12" i="74"/>
  <c r="H11" i="74"/>
  <c r="H10" i="74"/>
  <c r="H9" i="74"/>
  <c r="H8" i="74"/>
  <c r="G56" i="73"/>
  <c r="G63" i="73" s="1"/>
  <c r="F56" i="73"/>
  <c r="F63" i="73" s="1"/>
  <c r="H55" i="73"/>
  <c r="H56" i="73" s="1"/>
  <c r="H63" i="73" s="1"/>
  <c r="G53" i="73"/>
  <c r="G62" i="73" s="1"/>
  <c r="F53" i="73"/>
  <c r="F62" i="73" s="1"/>
  <c r="H52" i="73"/>
  <c r="G48" i="73"/>
  <c r="G61" i="73" s="1"/>
  <c r="F48" i="73"/>
  <c r="F61" i="73" s="1"/>
  <c r="H47" i="73"/>
  <c r="H46" i="73"/>
  <c r="H45" i="73"/>
  <c r="H44" i="73"/>
  <c r="H43" i="73"/>
  <c r="H42" i="73"/>
  <c r="H41" i="73"/>
  <c r="H40" i="73"/>
  <c r="H39" i="73"/>
  <c r="H38" i="73"/>
  <c r="H37" i="73"/>
  <c r="G35" i="73"/>
  <c r="G60" i="73" s="1"/>
  <c r="F35" i="73"/>
  <c r="F60" i="73" s="1"/>
  <c r="H34" i="73"/>
  <c r="H33" i="73"/>
  <c r="H32" i="73"/>
  <c r="H31" i="73"/>
  <c r="H30" i="73"/>
  <c r="H29" i="73"/>
  <c r="H28" i="73"/>
  <c r="H27" i="73"/>
  <c r="H26" i="73"/>
  <c r="H25" i="73"/>
  <c r="H24" i="73"/>
  <c r="G22" i="73"/>
  <c r="F22" i="73"/>
  <c r="F59" i="73" s="1"/>
  <c r="H21" i="73"/>
  <c r="H20" i="73"/>
  <c r="H19" i="73"/>
  <c r="H18" i="73"/>
  <c r="H17" i="73"/>
  <c r="H16" i="73"/>
  <c r="H15" i="73"/>
  <c r="H14" i="73"/>
  <c r="H13" i="73"/>
  <c r="H12" i="73"/>
  <c r="H11" i="73"/>
  <c r="H10" i="73"/>
  <c r="H9" i="73"/>
  <c r="G199" i="72"/>
  <c r="G207" i="72" s="1"/>
  <c r="F199" i="72"/>
  <c r="F207" i="72" s="1"/>
  <c r="H198" i="72"/>
  <c r="H197" i="72"/>
  <c r="H196" i="72"/>
  <c r="H195" i="72"/>
  <c r="H194" i="72"/>
  <c r="G191" i="72"/>
  <c r="G206" i="72" s="1"/>
  <c r="F191" i="72"/>
  <c r="F206" i="72" s="1"/>
  <c r="H190" i="72"/>
  <c r="H189" i="72"/>
  <c r="G186" i="72"/>
  <c r="G205" i="72" s="1"/>
  <c r="F186" i="72"/>
  <c r="F205" i="72" s="1"/>
  <c r="H185" i="72"/>
  <c r="H184" i="72"/>
  <c r="H183" i="72"/>
  <c r="H182" i="72"/>
  <c r="H181" i="72"/>
  <c r="H180" i="72"/>
  <c r="H179" i="72"/>
  <c r="H178" i="72"/>
  <c r="H177" i="72"/>
  <c r="H176" i="72"/>
  <c r="H175" i="72"/>
  <c r="H174" i="72"/>
  <c r="H173" i="72"/>
  <c r="H172" i="72"/>
  <c r="H171" i="72"/>
  <c r="H170" i="72"/>
  <c r="H169" i="72"/>
  <c r="H168" i="72"/>
  <c r="H167" i="72"/>
  <c r="H166" i="72"/>
  <c r="H165" i="72"/>
  <c r="H164" i="72"/>
  <c r="H163" i="72"/>
  <c r="H162" i="72"/>
  <c r="H161" i="72"/>
  <c r="H160" i="72"/>
  <c r="H159" i="72"/>
  <c r="H158" i="72"/>
  <c r="H157" i="72"/>
  <c r="H156" i="72"/>
  <c r="H155" i="72"/>
  <c r="H154" i="72"/>
  <c r="H153" i="72"/>
  <c r="H152" i="72"/>
  <c r="H151" i="72"/>
  <c r="G148" i="72"/>
  <c r="G204" i="72" s="1"/>
  <c r="F148" i="72"/>
  <c r="F204" i="72" s="1"/>
  <c r="H147" i="72"/>
  <c r="H146" i="72"/>
  <c r="H145" i="72"/>
  <c r="H144" i="72"/>
  <c r="H143" i="72"/>
  <c r="H142" i="72"/>
  <c r="H141" i="72"/>
  <c r="H140" i="72"/>
  <c r="H139" i="72"/>
  <c r="H138" i="72"/>
  <c r="H137" i="72"/>
  <c r="H136" i="72"/>
  <c r="H135" i="72"/>
  <c r="H134" i="72"/>
  <c r="H133" i="72"/>
  <c r="H132" i="72"/>
  <c r="H131" i="72"/>
  <c r="H130" i="72"/>
  <c r="H129" i="72"/>
  <c r="H128" i="72"/>
  <c r="H127" i="72"/>
  <c r="H126" i="72"/>
  <c r="H125" i="72"/>
  <c r="H124" i="72"/>
  <c r="H123" i="72"/>
  <c r="H122" i="72"/>
  <c r="H121" i="72"/>
  <c r="H120" i="72"/>
  <c r="H119" i="72"/>
  <c r="H118" i="72"/>
  <c r="H117" i="72"/>
  <c r="H116" i="72"/>
  <c r="H115" i="72"/>
  <c r="H114" i="72"/>
  <c r="H113" i="72"/>
  <c r="H112" i="72"/>
  <c r="H111" i="72"/>
  <c r="H110" i="72"/>
  <c r="H109" i="72"/>
  <c r="H108" i="72"/>
  <c r="H107" i="72"/>
  <c r="H106" i="72"/>
  <c r="H105" i="72"/>
  <c r="H104" i="72"/>
  <c r="H103" i="72"/>
  <c r="H102" i="72"/>
  <c r="H101" i="72"/>
  <c r="H100" i="72"/>
  <c r="H99" i="72"/>
  <c r="H98" i="72"/>
  <c r="H97" i="72"/>
  <c r="H96" i="72"/>
  <c r="H95" i="72"/>
  <c r="H94" i="72"/>
  <c r="H93" i="72"/>
  <c r="H92" i="72"/>
  <c r="H91" i="72"/>
  <c r="H90" i="72"/>
  <c r="H89" i="72"/>
  <c r="H88" i="72"/>
  <c r="H87" i="72"/>
  <c r="H86" i="72"/>
  <c r="H85" i="72"/>
  <c r="H84" i="72"/>
  <c r="H83" i="72"/>
  <c r="H82" i="72"/>
  <c r="H81" i="72"/>
  <c r="H80" i="72"/>
  <c r="H79" i="72"/>
  <c r="H78" i="72"/>
  <c r="H77" i="72"/>
  <c r="H76" i="72"/>
  <c r="G74" i="72"/>
  <c r="G203" i="72" s="1"/>
  <c r="F203" i="72"/>
  <c r="H73" i="72"/>
  <c r="H72" i="72"/>
  <c r="H71" i="72"/>
  <c r="H70" i="72"/>
  <c r="H69" i="72"/>
  <c r="H68" i="72"/>
  <c r="H67" i="72"/>
  <c r="H66" i="72"/>
  <c r="H65" i="72"/>
  <c r="H64" i="72"/>
  <c r="H63" i="72"/>
  <c r="H62" i="72"/>
  <c r="H61" i="72"/>
  <c r="H60" i="72"/>
  <c r="H59" i="72"/>
  <c r="H58" i="72"/>
  <c r="H57" i="72"/>
  <c r="H56" i="72"/>
  <c r="H55" i="72"/>
  <c r="H54" i="72"/>
  <c r="H53" i="72"/>
  <c r="H52" i="72"/>
  <c r="H51" i="72"/>
  <c r="H50" i="72"/>
  <c r="H49" i="72"/>
  <c r="H48" i="72"/>
  <c r="H47" i="72"/>
  <c r="H46" i="72"/>
  <c r="H45" i="72"/>
  <c r="H44" i="72"/>
  <c r="H43" i="72"/>
  <c r="H42" i="72"/>
  <c r="H41" i="72"/>
  <c r="H40" i="72"/>
  <c r="H39" i="72"/>
  <c r="H38" i="72"/>
  <c r="H37" i="72"/>
  <c r="H36" i="72"/>
  <c r="H35" i="72"/>
  <c r="H34" i="72"/>
  <c r="H32" i="72"/>
  <c r="H31" i="72"/>
  <c r="H30" i="72"/>
  <c r="H29" i="72"/>
  <c r="H28" i="72"/>
  <c r="H27" i="72"/>
  <c r="H26" i="72"/>
  <c r="H25" i="72"/>
  <c r="H24" i="72"/>
  <c r="H23" i="72"/>
  <c r="H22" i="72"/>
  <c r="H21" i="72"/>
  <c r="H20" i="72"/>
  <c r="H19" i="72"/>
  <c r="H18" i="72"/>
  <c r="H17" i="72"/>
  <c r="H16" i="72"/>
  <c r="H15" i="72"/>
  <c r="H14" i="72"/>
  <c r="H13" i="72"/>
  <c r="H12" i="72"/>
  <c r="H11" i="72"/>
  <c r="H10" i="72"/>
  <c r="H9" i="72"/>
  <c r="G24" i="71"/>
  <c r="E24" i="71"/>
  <c r="E35" i="4" s="1"/>
  <c r="F22" i="71"/>
  <c r="F19" i="71"/>
  <c r="G12" i="71"/>
  <c r="E12" i="71"/>
  <c r="D12" i="71"/>
  <c r="D24" i="5" s="1"/>
  <c r="F11" i="71"/>
  <c r="F10" i="71"/>
  <c r="F9" i="71"/>
  <c r="G112" i="69"/>
  <c r="H111" i="69"/>
  <c r="H110" i="69"/>
  <c r="H109" i="69"/>
  <c r="H108" i="69"/>
  <c r="G100" i="69"/>
  <c r="F100" i="69"/>
  <c r="H99" i="69"/>
  <c r="H98" i="69"/>
  <c r="H97" i="69"/>
  <c r="H96" i="69"/>
  <c r="H95" i="69"/>
  <c r="H94" i="69"/>
  <c r="H90" i="69"/>
  <c r="G90" i="69"/>
  <c r="F90" i="69"/>
  <c r="G84" i="69"/>
  <c r="G91" i="69" s="1"/>
  <c r="F84" i="69"/>
  <c r="F91" i="69" s="1"/>
  <c r="H83" i="69"/>
  <c r="H82" i="69"/>
  <c r="H81" i="69"/>
  <c r="H80" i="69"/>
  <c r="H79" i="69"/>
  <c r="H78" i="69"/>
  <c r="H77" i="69"/>
  <c r="H76" i="69"/>
  <c r="H75" i="69"/>
  <c r="H74" i="69"/>
  <c r="H73" i="69"/>
  <c r="H72" i="69"/>
  <c r="H71" i="69"/>
  <c r="H70" i="69"/>
  <c r="H69" i="69"/>
  <c r="H68" i="69"/>
  <c r="H67" i="69"/>
  <c r="H66" i="69"/>
  <c r="H65" i="69"/>
  <c r="H64" i="69"/>
  <c r="G60" i="69"/>
  <c r="G89" i="69" s="1"/>
  <c r="F60" i="69"/>
  <c r="F89" i="69" s="1"/>
  <c r="H59" i="69"/>
  <c r="H60" i="69" s="1"/>
  <c r="H89" i="69" s="1"/>
  <c r="G57" i="69"/>
  <c r="G88" i="69" s="1"/>
  <c r="F57" i="69"/>
  <c r="F88" i="69" s="1"/>
  <c r="H56" i="69"/>
  <c r="H55" i="69"/>
  <c r="H54" i="69"/>
  <c r="H53" i="69"/>
  <c r="H52" i="69"/>
  <c r="H51" i="69"/>
  <c r="H50" i="69"/>
  <c r="H49" i="69"/>
  <c r="H48" i="69"/>
  <c r="H47" i="69"/>
  <c r="H46" i="69"/>
  <c r="H45" i="69"/>
  <c r="H44" i="69"/>
  <c r="H43" i="69"/>
  <c r="H42" i="69"/>
  <c r="H41" i="69"/>
  <c r="H40" i="69"/>
  <c r="H39" i="69"/>
  <c r="H38" i="69"/>
  <c r="H37" i="69"/>
  <c r="H36" i="69"/>
  <c r="H35" i="69"/>
  <c r="H34" i="69"/>
  <c r="G32" i="69"/>
  <c r="G87" i="69" s="1"/>
  <c r="F32" i="69"/>
  <c r="F87" i="69" s="1"/>
  <c r="H31" i="69"/>
  <c r="H30" i="69"/>
  <c r="H29" i="69"/>
  <c r="H28" i="69"/>
  <c r="H27" i="69"/>
  <c r="H26" i="69"/>
  <c r="H25" i="69"/>
  <c r="H24" i="69"/>
  <c r="H23" i="69"/>
  <c r="H22" i="69"/>
  <c r="H21" i="69"/>
  <c r="H20" i="69"/>
  <c r="H19" i="69"/>
  <c r="H18" i="69"/>
  <c r="H17" i="69"/>
  <c r="H16" i="69"/>
  <c r="H15" i="69"/>
  <c r="H14" i="69"/>
  <c r="H13" i="69"/>
  <c r="H12" i="69"/>
  <c r="H11" i="69"/>
  <c r="H10" i="69"/>
  <c r="H9" i="69"/>
  <c r="H9" i="14"/>
  <c r="H10" i="14"/>
  <c r="H11" i="14"/>
  <c r="H12" i="14"/>
  <c r="H17" i="14"/>
  <c r="H8" i="14"/>
  <c r="H9" i="68"/>
  <c r="H10" i="68"/>
  <c r="H11" i="68"/>
  <c r="H12" i="68"/>
  <c r="H13" i="68"/>
  <c r="H14" i="68"/>
  <c r="H15" i="68"/>
  <c r="H16" i="68"/>
  <c r="H17" i="68"/>
  <c r="H18" i="68"/>
  <c r="H19" i="68"/>
  <c r="H20" i="68"/>
  <c r="H23" i="68"/>
  <c r="H24" i="68"/>
  <c r="H25" i="68"/>
  <c r="H26" i="68"/>
  <c r="H27" i="68"/>
  <c r="H28" i="68"/>
  <c r="H29" i="68"/>
  <c r="H30" i="68"/>
  <c r="H31" i="68"/>
  <c r="H32" i="68"/>
  <c r="H33" i="68"/>
  <c r="H36" i="68"/>
  <c r="H37" i="68"/>
  <c r="H38" i="68"/>
  <c r="H39" i="68"/>
  <c r="H40" i="68"/>
  <c r="H41" i="68"/>
  <c r="H42" i="68"/>
  <c r="H43" i="68"/>
  <c r="H44" i="68"/>
  <c r="H45" i="68"/>
  <c r="H46" i="68"/>
  <c r="H50" i="68"/>
  <c r="H53" i="68"/>
  <c r="H8" i="68"/>
  <c r="G199" i="67"/>
  <c r="H195" i="67"/>
  <c r="H196" i="67"/>
  <c r="H197" i="67"/>
  <c r="H198" i="67"/>
  <c r="H194" i="67"/>
  <c r="H190" i="67"/>
  <c r="H189" i="67"/>
  <c r="H152" i="67"/>
  <c r="H153" i="67"/>
  <c r="H154" i="67"/>
  <c r="H155" i="67"/>
  <c r="H156" i="67"/>
  <c r="H157" i="67"/>
  <c r="H158" i="67"/>
  <c r="H159" i="67"/>
  <c r="H160" i="67"/>
  <c r="H161" i="67"/>
  <c r="H162" i="67"/>
  <c r="H163" i="67"/>
  <c r="H164" i="67"/>
  <c r="H165" i="67"/>
  <c r="H166" i="67"/>
  <c r="H167" i="67"/>
  <c r="H168" i="67"/>
  <c r="H169" i="67"/>
  <c r="H170" i="67"/>
  <c r="H171" i="67"/>
  <c r="H172" i="67"/>
  <c r="H173" i="67"/>
  <c r="H174" i="67"/>
  <c r="H175" i="67"/>
  <c r="H176" i="67"/>
  <c r="H177" i="67"/>
  <c r="H178" i="67"/>
  <c r="H179" i="67"/>
  <c r="H180" i="67"/>
  <c r="H181" i="67"/>
  <c r="H182" i="67"/>
  <c r="H183" i="67"/>
  <c r="H184" i="67"/>
  <c r="H185" i="67"/>
  <c r="H151" i="67"/>
  <c r="H77" i="67"/>
  <c r="H78" i="67"/>
  <c r="H79" i="67"/>
  <c r="H80" i="67"/>
  <c r="H81" i="67"/>
  <c r="H82" i="67"/>
  <c r="H83" i="67"/>
  <c r="H84" i="67"/>
  <c r="H85" i="67"/>
  <c r="H86" i="67"/>
  <c r="H87" i="67"/>
  <c r="H88" i="67"/>
  <c r="H89" i="67"/>
  <c r="H90" i="67"/>
  <c r="H91" i="67"/>
  <c r="H92" i="67"/>
  <c r="H93" i="67"/>
  <c r="H94" i="67"/>
  <c r="H95" i="67"/>
  <c r="H96" i="67"/>
  <c r="H97" i="67"/>
  <c r="H98" i="67"/>
  <c r="H99" i="67"/>
  <c r="H100" i="67"/>
  <c r="H101" i="67"/>
  <c r="H102" i="67"/>
  <c r="H103" i="67"/>
  <c r="H104" i="67"/>
  <c r="H105" i="67"/>
  <c r="H106" i="67"/>
  <c r="H107" i="67"/>
  <c r="H108" i="67"/>
  <c r="H109" i="67"/>
  <c r="H110" i="67"/>
  <c r="H111" i="67"/>
  <c r="H112" i="67"/>
  <c r="H113" i="67"/>
  <c r="H114" i="67"/>
  <c r="H115" i="67"/>
  <c r="H116" i="67"/>
  <c r="H117" i="67"/>
  <c r="H118" i="67"/>
  <c r="H119" i="67"/>
  <c r="H120" i="67"/>
  <c r="H121" i="67"/>
  <c r="H122" i="67"/>
  <c r="H123" i="67"/>
  <c r="H124" i="67"/>
  <c r="H125" i="67"/>
  <c r="H126" i="67"/>
  <c r="H127" i="67"/>
  <c r="H128" i="67"/>
  <c r="H129" i="67"/>
  <c r="H130" i="67"/>
  <c r="H131" i="67"/>
  <c r="H132" i="67"/>
  <c r="H133" i="67"/>
  <c r="H134" i="67"/>
  <c r="H135" i="67"/>
  <c r="H136" i="67"/>
  <c r="H137" i="67"/>
  <c r="H138" i="67"/>
  <c r="H139" i="67"/>
  <c r="H140" i="67"/>
  <c r="H141" i="67"/>
  <c r="H142" i="67"/>
  <c r="H143" i="67"/>
  <c r="H144" i="67"/>
  <c r="H145" i="67"/>
  <c r="H146" i="67"/>
  <c r="H147" i="67"/>
  <c r="H76" i="67"/>
  <c r="H10" i="67"/>
  <c r="H11" i="67"/>
  <c r="H12" i="67"/>
  <c r="H13" i="67"/>
  <c r="H14" i="67"/>
  <c r="H15" i="67"/>
  <c r="H16" i="67"/>
  <c r="H17" i="67"/>
  <c r="H18" i="67"/>
  <c r="H19" i="67"/>
  <c r="H20" i="67"/>
  <c r="H21" i="67"/>
  <c r="H22" i="67"/>
  <c r="H23" i="67"/>
  <c r="H24" i="67"/>
  <c r="H25" i="67"/>
  <c r="H26" i="67"/>
  <c r="H27" i="67"/>
  <c r="H28" i="67"/>
  <c r="H29" i="67"/>
  <c r="H30" i="67"/>
  <c r="H31" i="67"/>
  <c r="H32" i="67"/>
  <c r="H34" i="67"/>
  <c r="H35" i="67"/>
  <c r="H36" i="67"/>
  <c r="H37" i="67"/>
  <c r="H38" i="67"/>
  <c r="H39" i="67"/>
  <c r="H40" i="67"/>
  <c r="H41" i="67"/>
  <c r="H42" i="67"/>
  <c r="H43" i="67"/>
  <c r="H44" i="67"/>
  <c r="H45" i="67"/>
  <c r="H46" i="67"/>
  <c r="H47" i="67"/>
  <c r="H48" i="67"/>
  <c r="H49" i="67"/>
  <c r="H50" i="67"/>
  <c r="H51" i="67"/>
  <c r="H52" i="67"/>
  <c r="H53" i="67"/>
  <c r="H54" i="67"/>
  <c r="H55" i="67"/>
  <c r="H56" i="67"/>
  <c r="H57" i="67"/>
  <c r="H58" i="67"/>
  <c r="H59" i="67"/>
  <c r="H60" i="67"/>
  <c r="H61" i="67"/>
  <c r="H62" i="67"/>
  <c r="H63" i="67"/>
  <c r="H64" i="67"/>
  <c r="H65" i="67"/>
  <c r="H66" i="67"/>
  <c r="H67" i="67"/>
  <c r="H68" i="67"/>
  <c r="H69" i="67"/>
  <c r="H70" i="67"/>
  <c r="H71" i="67"/>
  <c r="H72" i="67"/>
  <c r="H73" i="67"/>
  <c r="H9" i="67"/>
  <c r="F9" i="15"/>
  <c r="F10" i="15"/>
  <c r="H107" i="11"/>
  <c r="H108" i="11"/>
  <c r="H109" i="11"/>
  <c r="H106" i="11"/>
  <c r="H95" i="11"/>
  <c r="H96" i="11"/>
  <c r="H97" i="11"/>
  <c r="H98" i="11"/>
  <c r="H99" i="11"/>
  <c r="H9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64" i="11"/>
  <c r="H5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9" i="11"/>
  <c r="D20" i="9"/>
  <c r="G36" i="18" s="1"/>
  <c r="F20" i="9"/>
  <c r="G20" i="9"/>
  <c r="H20" i="9"/>
  <c r="I20" i="9"/>
  <c r="C20" i="9"/>
  <c r="G23" i="9" s="1"/>
  <c r="J14" i="9"/>
  <c r="J15" i="9"/>
  <c r="J16" i="9"/>
  <c r="J17" i="9"/>
  <c r="J18" i="9"/>
  <c r="J19" i="9"/>
  <c r="C20" i="7"/>
  <c r="D20" i="7"/>
  <c r="F20" i="7"/>
  <c r="H20" i="7"/>
  <c r="E19" i="7"/>
  <c r="B20" i="7"/>
  <c r="E17" i="7"/>
  <c r="I17" i="7" s="1"/>
  <c r="I13" i="7"/>
  <c r="I14" i="7"/>
  <c r="I15" i="7"/>
  <c r="I16" i="7"/>
  <c r="I18" i="7"/>
  <c r="I19" i="7"/>
  <c r="E19" i="57"/>
  <c r="E18" i="57"/>
  <c r="E17" i="57"/>
  <c r="E16" i="57"/>
  <c r="E15" i="57"/>
  <c r="E14" i="57"/>
  <c r="H14" i="57"/>
  <c r="H15" i="57"/>
  <c r="H16" i="57"/>
  <c r="H17" i="57"/>
  <c r="H18" i="57"/>
  <c r="H19" i="57"/>
  <c r="H20" i="57"/>
  <c r="E10" i="8"/>
  <c r="E11" i="8"/>
  <c r="E12" i="8"/>
  <c r="E13" i="8"/>
  <c r="E14" i="8"/>
  <c r="E15" i="8"/>
  <c r="E16" i="8"/>
  <c r="E17" i="8"/>
  <c r="E18" i="8"/>
  <c r="E19" i="8"/>
  <c r="E20" i="8"/>
  <c r="E9" i="8"/>
  <c r="H10" i="8"/>
  <c r="H11" i="8"/>
  <c r="H12" i="8"/>
  <c r="H13" i="8"/>
  <c r="H14" i="8"/>
  <c r="H15" i="8"/>
  <c r="H16" i="8"/>
  <c r="H17" i="8"/>
  <c r="H18" i="8"/>
  <c r="H19" i="8"/>
  <c r="H20" i="8"/>
  <c r="H9" i="8"/>
  <c r="H13" i="74" l="1"/>
  <c r="G19" i="74"/>
  <c r="H191" i="72"/>
  <c r="H206" i="72" s="1"/>
  <c r="H19" i="74"/>
  <c r="G19" i="14"/>
  <c r="E30" i="4" s="1"/>
  <c r="H199" i="72"/>
  <c r="H207" i="72" s="1"/>
  <c r="E26" i="71"/>
  <c r="D27" i="4"/>
  <c r="E20" i="7"/>
  <c r="H148" i="72"/>
  <c r="H204" i="72" s="1"/>
  <c r="F12" i="71"/>
  <c r="F64" i="73"/>
  <c r="F73" i="73" s="1"/>
  <c r="H22" i="73"/>
  <c r="H59" i="73" s="1"/>
  <c r="H74" i="72"/>
  <c r="H203" i="72" s="1"/>
  <c r="F208" i="72"/>
  <c r="H186" i="72"/>
  <c r="H205" i="72" s="1"/>
  <c r="H32" i="11"/>
  <c r="H112" i="69"/>
  <c r="H100" i="69"/>
  <c r="H84" i="69"/>
  <c r="H91" i="69" s="1"/>
  <c r="H32" i="69"/>
  <c r="H87" i="69" s="1"/>
  <c r="H57" i="69"/>
  <c r="H88" i="69" s="1"/>
  <c r="H35" i="73"/>
  <c r="H60" i="73" s="1"/>
  <c r="G59" i="73"/>
  <c r="G64" i="73" s="1"/>
  <c r="H48" i="73"/>
  <c r="H61" i="73" s="1"/>
  <c r="H53" i="73"/>
  <c r="H62" i="73" s="1"/>
  <c r="G208" i="72"/>
  <c r="G92" i="69"/>
  <c r="G105" i="69" s="1"/>
  <c r="G114" i="69" s="1"/>
  <c r="F92" i="69"/>
  <c r="D29" i="4" l="1"/>
  <c r="G48" i="47" s="1"/>
  <c r="D27" i="5"/>
  <c r="D26" i="5"/>
  <c r="D28" i="4"/>
  <c r="H64" i="73"/>
  <c r="H208" i="72"/>
  <c r="F101" i="69"/>
  <c r="H7" i="43" s="1"/>
  <c r="H92" i="69"/>
  <c r="H105" i="69" s="1"/>
  <c r="G54" i="47"/>
  <c r="G50" i="47"/>
  <c r="G45" i="47"/>
  <c r="F103" i="69" l="1"/>
  <c r="F104" i="69" s="1"/>
  <c r="D7" i="43" s="1"/>
  <c r="F38" i="32" l="1"/>
  <c r="F36" i="1" s="1"/>
  <c r="G21" i="32"/>
  <c r="E38" i="32"/>
  <c r="E36" i="1" s="1"/>
  <c r="G18" i="32"/>
  <c r="G15" i="32"/>
  <c r="H36" i="1" l="1"/>
  <c r="H46" i="43"/>
  <c r="D22" i="43" s="1"/>
  <c r="H37" i="43" l="1"/>
  <c r="H40" i="43"/>
  <c r="D23" i="43" s="1"/>
  <c r="H31" i="43"/>
  <c r="H34" i="43" s="1"/>
  <c r="D21" i="43" s="1"/>
  <c r="H25" i="43"/>
  <c r="H28" i="43" s="1"/>
  <c r="D16" i="43" s="1"/>
  <c r="H19" i="43"/>
  <c r="H22" i="43" s="1"/>
  <c r="D15" i="43" s="1"/>
  <c r="H13" i="43"/>
  <c r="H16" i="43" s="1"/>
  <c r="D14" i="43" s="1"/>
  <c r="H10" i="43"/>
  <c r="F17" i="15" l="1"/>
  <c r="G57" i="11"/>
  <c r="H57" i="11"/>
  <c r="G20" i="4" l="1"/>
  <c r="H8" i="4"/>
  <c r="G8" i="4"/>
  <c r="G54" i="68" l="1"/>
  <c r="G61" i="68" s="1"/>
  <c r="F61" i="68"/>
  <c r="H54" i="68"/>
  <c r="H61" i="68" s="1"/>
  <c r="G51" i="68"/>
  <c r="F60" i="68"/>
  <c r="G47" i="68"/>
  <c r="G59" i="68" s="1"/>
  <c r="G34" i="68"/>
  <c r="G58" i="68" s="1"/>
  <c r="G21" i="68"/>
  <c r="G57" i="68" s="1"/>
  <c r="G206" i="67"/>
  <c r="F206" i="67"/>
  <c r="G191" i="67"/>
  <c r="G205" i="67" s="1"/>
  <c r="F205" i="67"/>
  <c r="H191" i="67"/>
  <c r="H205" i="67" s="1"/>
  <c r="G186" i="67"/>
  <c r="G204" i="67" s="1"/>
  <c r="F204" i="67"/>
  <c r="H186" i="67"/>
  <c r="H204" i="67" s="1"/>
  <c r="G148" i="67"/>
  <c r="G203" i="67" s="1"/>
  <c r="F203" i="67"/>
  <c r="G74" i="67"/>
  <c r="G202" i="67" s="1"/>
  <c r="F202" i="67"/>
  <c r="G60" i="68" l="1"/>
  <c r="H51" i="68"/>
  <c r="H60" i="68" s="1"/>
  <c r="F59" i="68"/>
  <c r="H47" i="68"/>
  <c r="H59" i="68" s="1"/>
  <c r="F58" i="68"/>
  <c r="H34" i="68"/>
  <c r="H58" i="68" s="1"/>
  <c r="F57" i="68"/>
  <c r="H21" i="68"/>
  <c r="H57" i="68" s="1"/>
  <c r="G62" i="68"/>
  <c r="H199" i="67"/>
  <c r="H206" i="67" s="1"/>
  <c r="H148" i="67"/>
  <c r="H203" i="67" s="1"/>
  <c r="F207" i="67"/>
  <c r="E25" i="1" s="1"/>
  <c r="H74" i="67"/>
  <c r="H202" i="67" s="1"/>
  <c r="G207" i="67"/>
  <c r="E28" i="4" s="1"/>
  <c r="F62" i="68" l="1"/>
  <c r="F71" i="68" s="1"/>
  <c r="E26" i="1" s="1"/>
  <c r="H62" i="68"/>
  <c r="H207" i="67"/>
  <c r="G40" i="47"/>
  <c r="E11" i="22"/>
  <c r="F13" i="16"/>
  <c r="F12" i="16"/>
  <c r="G107" i="33"/>
  <c r="F131" i="33"/>
  <c r="F23" i="27" s="1"/>
  <c r="G35" i="33"/>
  <c r="G36" i="33"/>
  <c r="G132" i="30"/>
  <c r="G139" i="30" s="1"/>
  <c r="G99" i="30"/>
  <c r="G138" i="30" s="1"/>
  <c r="G95" i="30"/>
  <c r="G87" i="30"/>
  <c r="G136" i="30" s="1"/>
  <c r="G40" i="30"/>
  <c r="G135" i="30" s="1"/>
  <c r="G137" i="30" l="1"/>
  <c r="D33" i="18"/>
  <c r="G34" i="18" s="1"/>
  <c r="D44" i="5"/>
  <c r="D18" i="4"/>
  <c r="G46" i="47"/>
  <c r="G30" i="4"/>
  <c r="H30" i="4"/>
  <c r="H19" i="4"/>
  <c r="G19" i="4"/>
  <c r="G140" i="30"/>
  <c r="D12" i="47" s="1"/>
  <c r="G52" i="47" l="1"/>
  <c r="H29" i="4"/>
  <c r="H28" i="4" l="1"/>
  <c r="G28" i="4"/>
  <c r="G29" i="4"/>
  <c r="H15" i="14"/>
  <c r="H16" i="14"/>
  <c r="H13" i="14"/>
  <c r="H19" i="14" s="1"/>
  <c r="H14" i="14"/>
  <c r="F8" i="15" l="1"/>
  <c r="G110" i="11"/>
  <c r="E25" i="4" s="1"/>
  <c r="G88" i="11"/>
  <c r="G60" i="11"/>
  <c r="G89" i="11" s="1"/>
  <c r="G90" i="11"/>
  <c r="G84" i="11"/>
  <c r="G91" i="11" s="1"/>
  <c r="G32" i="11"/>
  <c r="G87" i="11" s="1"/>
  <c r="G100" i="11"/>
  <c r="E10" i="57"/>
  <c r="E11" i="57"/>
  <c r="E12" i="57"/>
  <c r="E13" i="57"/>
  <c r="E20" i="57"/>
  <c r="E9" i="57"/>
  <c r="I9" i="7"/>
  <c r="G25" i="4" l="1"/>
  <c r="H25" i="4"/>
  <c r="G92" i="11"/>
  <c r="G102" i="11" s="1"/>
  <c r="E24" i="4" s="1"/>
  <c r="H10" i="57"/>
  <c r="H11" i="57"/>
  <c r="H12" i="57"/>
  <c r="H13" i="57"/>
  <c r="H9" i="57"/>
  <c r="G21" i="57"/>
  <c r="F21" i="57"/>
  <c r="E21" i="57"/>
  <c r="D21" i="57"/>
  <c r="C21" i="57"/>
  <c r="D11" i="4" s="1"/>
  <c r="G35" i="47" l="1"/>
  <c r="G11" i="4"/>
  <c r="H11" i="4"/>
  <c r="D9" i="5"/>
  <c r="E9" i="1"/>
  <c r="H24" i="4"/>
  <c r="G24" i="4"/>
  <c r="G112" i="11"/>
  <c r="H21" i="57"/>
  <c r="G18" i="45"/>
  <c r="D16" i="45"/>
  <c r="G16" i="45" s="1"/>
  <c r="G28" i="56"/>
  <c r="G31" i="56" s="1"/>
  <c r="L23" i="56"/>
  <c r="I20" i="56"/>
  <c r="H20" i="56"/>
  <c r="F20" i="56"/>
  <c r="E20" i="56"/>
  <c r="D20" i="56"/>
  <c r="J19" i="56"/>
  <c r="K19" i="56" s="1"/>
  <c r="G19" i="56"/>
  <c r="L19" i="56" s="1"/>
  <c r="M19" i="56" s="1"/>
  <c r="J18" i="56"/>
  <c r="K18" i="56" s="1"/>
  <c r="G18" i="56"/>
  <c r="L18" i="56" s="1"/>
  <c r="M18" i="56" s="1"/>
  <c r="J17" i="56"/>
  <c r="K17" i="56" s="1"/>
  <c r="G17" i="56"/>
  <c r="L17" i="56" s="1"/>
  <c r="M17" i="56" s="1"/>
  <c r="J16" i="56"/>
  <c r="K16" i="56" s="1"/>
  <c r="G16" i="56"/>
  <c r="L16" i="56" s="1"/>
  <c r="M16" i="56" s="1"/>
  <c r="J15" i="56"/>
  <c r="K15" i="56" s="1"/>
  <c r="G15" i="56"/>
  <c r="L15" i="56" s="1"/>
  <c r="M15" i="56" s="1"/>
  <c r="J14" i="56"/>
  <c r="K14" i="56" s="1"/>
  <c r="G14" i="56"/>
  <c r="L14" i="56" s="1"/>
  <c r="M14" i="56" s="1"/>
  <c r="J13" i="56"/>
  <c r="K13" i="56" s="1"/>
  <c r="G13" i="56"/>
  <c r="L13" i="56" s="1"/>
  <c r="M13" i="56" s="1"/>
  <c r="J12" i="56"/>
  <c r="K12" i="56" s="1"/>
  <c r="G12" i="56"/>
  <c r="L12" i="56" s="1"/>
  <c r="M12" i="56" s="1"/>
  <c r="J11" i="56"/>
  <c r="K11" i="56" s="1"/>
  <c r="G11" i="56"/>
  <c r="L11" i="56" s="1"/>
  <c r="M11" i="56" s="1"/>
  <c r="J10" i="56"/>
  <c r="K10" i="56" s="1"/>
  <c r="G10" i="56"/>
  <c r="L10" i="56" s="1"/>
  <c r="M10" i="56" s="1"/>
  <c r="J9" i="56"/>
  <c r="K9" i="56" s="1"/>
  <c r="G9" i="56"/>
  <c r="G19" i="6"/>
  <c r="E19" i="19"/>
  <c r="F19" i="19" s="1"/>
  <c r="G19" i="19"/>
  <c r="H19" i="19"/>
  <c r="G20" i="18" l="1"/>
  <c r="J19" i="19"/>
  <c r="D32" i="6" s="1"/>
  <c r="D47" i="5"/>
  <c r="D36" i="4"/>
  <c r="D23" i="71"/>
  <c r="F21" i="71" s="1"/>
  <c r="D20" i="15"/>
  <c r="F18" i="15" s="1"/>
  <c r="G20" i="56"/>
  <c r="K20" i="56"/>
  <c r="J20" i="56"/>
  <c r="L9" i="56"/>
  <c r="B39" i="1"/>
  <c r="I18" i="19"/>
  <c r="F17" i="19"/>
  <c r="J17" i="19" s="1"/>
  <c r="F18" i="19"/>
  <c r="J18" i="19" s="1"/>
  <c r="E32" i="16"/>
  <c r="D32" i="16"/>
  <c r="E14" i="16"/>
  <c r="D14" i="16"/>
  <c r="E17" i="1" l="1"/>
  <c r="D17" i="5"/>
  <c r="D17" i="4"/>
  <c r="M20" i="18"/>
  <c r="L20" i="18"/>
  <c r="E15" i="1"/>
  <c r="D15" i="5"/>
  <c r="D15" i="4"/>
  <c r="G42" i="47" s="1"/>
  <c r="D24" i="71"/>
  <c r="D34" i="4" s="1"/>
  <c r="G51" i="47" s="1"/>
  <c r="F24" i="71"/>
  <c r="G49" i="47"/>
  <c r="M9" i="56"/>
  <c r="M20" i="56" s="1"/>
  <c r="L20" i="56"/>
  <c r="G9" i="53"/>
  <c r="G10" i="53" s="1"/>
  <c r="I17" i="19"/>
  <c r="G8" i="45"/>
  <c r="D25" i="5" l="1"/>
  <c r="G17" i="4"/>
  <c r="G41" i="47"/>
  <c r="G15" i="4"/>
  <c r="H110" i="11"/>
  <c r="H22" i="1"/>
  <c r="D18" i="6" l="1"/>
  <c r="G36" i="47" l="1"/>
  <c r="J22" i="51"/>
  <c r="J21" i="51"/>
  <c r="H23" i="51"/>
  <c r="F23" i="51"/>
  <c r="G13" i="51"/>
  <c r="F13" i="51" s="1"/>
  <c r="G14" i="51"/>
  <c r="F14" i="51" s="1"/>
  <c r="G15" i="51"/>
  <c r="F15" i="51" s="1"/>
  <c r="G12" i="51"/>
  <c r="F12" i="51" s="1"/>
  <c r="G10" i="51"/>
  <c r="G11" i="51"/>
  <c r="F11" i="51" s="1"/>
  <c r="G9" i="51"/>
  <c r="F24" i="51"/>
  <c r="H24" i="51"/>
  <c r="D10" i="51"/>
  <c r="C10" i="51" s="1"/>
  <c r="D11" i="51"/>
  <c r="C11" i="51" s="1"/>
  <c r="D12" i="51"/>
  <c r="D13" i="51"/>
  <c r="D14" i="51"/>
  <c r="J14" i="51" s="1"/>
  <c r="D15" i="51"/>
  <c r="C15" i="51" s="1"/>
  <c r="D9" i="51"/>
  <c r="M22" i="51"/>
  <c r="M24" i="51"/>
  <c r="M19" i="51"/>
  <c r="F9" i="51" l="1"/>
  <c r="G17" i="51"/>
  <c r="J9" i="51"/>
  <c r="D17" i="51"/>
  <c r="J13" i="51"/>
  <c r="I15" i="51"/>
  <c r="J12" i="51"/>
  <c r="G18" i="4"/>
  <c r="H18" i="4"/>
  <c r="C12" i="51"/>
  <c r="J23" i="51"/>
  <c r="C9" i="51"/>
  <c r="C14" i="51"/>
  <c r="I14" i="51" s="1"/>
  <c r="K14" i="51" s="1"/>
  <c r="I12" i="51"/>
  <c r="K12" i="51" s="1"/>
  <c r="J24" i="51"/>
  <c r="I11" i="51"/>
  <c r="J15" i="51"/>
  <c r="C13" i="51"/>
  <c r="I13" i="51" s="1"/>
  <c r="K13" i="51" s="1"/>
  <c r="F25" i="51"/>
  <c r="H25" i="51"/>
  <c r="J11" i="51"/>
  <c r="J10" i="51"/>
  <c r="F10" i="51"/>
  <c r="I10" i="51" s="1"/>
  <c r="I9" i="51" l="1"/>
  <c r="C17" i="51"/>
  <c r="J17" i="51"/>
  <c r="F17" i="51"/>
  <c r="K11" i="51"/>
  <c r="K10" i="51"/>
  <c r="K15" i="51"/>
  <c r="J25" i="51"/>
  <c r="M21" i="51"/>
  <c r="M17" i="51"/>
  <c r="M25" i="51"/>
  <c r="M23" i="51"/>
  <c r="K9" i="51" l="1"/>
  <c r="K17" i="51" s="1"/>
  <c r="I17" i="51"/>
  <c r="E9" i="47"/>
  <c r="I20" i="47"/>
  <c r="F23" i="47"/>
  <c r="F19" i="47"/>
  <c r="E40" i="16"/>
  <c r="D40" i="16"/>
  <c r="F39" i="16"/>
  <c r="F40" i="16" s="1"/>
  <c r="F13" i="40"/>
  <c r="F14" i="40"/>
  <c r="F15" i="40"/>
  <c r="F16" i="40"/>
  <c r="F17" i="40"/>
  <c r="F18" i="40"/>
  <c r="F19" i="40"/>
  <c r="F20" i="40"/>
  <c r="F12" i="40"/>
  <c r="E21" i="40"/>
  <c r="F9" i="40"/>
  <c r="F8" i="40"/>
  <c r="D21" i="40"/>
  <c r="E10" i="40"/>
  <c r="D10" i="40"/>
  <c r="H16" i="21"/>
  <c r="H17" i="21"/>
  <c r="H18" i="21"/>
  <c r="H15" i="21"/>
  <c r="D19" i="21"/>
  <c r="E19" i="21"/>
  <c r="F19" i="21"/>
  <c r="G19" i="21"/>
  <c r="C19" i="21"/>
  <c r="D13" i="21"/>
  <c r="D20" i="21" s="1"/>
  <c r="E13" i="21"/>
  <c r="F13" i="21"/>
  <c r="F20" i="21" s="1"/>
  <c r="G13" i="21"/>
  <c r="G20" i="21" s="1"/>
  <c r="C13" i="21"/>
  <c r="H10" i="21"/>
  <c r="H11" i="21"/>
  <c r="H12" i="21"/>
  <c r="H9" i="21"/>
  <c r="G48" i="5"/>
  <c r="E30" i="1" l="1"/>
  <c r="H30" i="1" s="1"/>
  <c r="D32" i="4"/>
  <c r="G32" i="4" s="1"/>
  <c r="E22" i="40"/>
  <c r="H19" i="21"/>
  <c r="E20" i="21"/>
  <c r="D22" i="40"/>
  <c r="H13" i="21"/>
  <c r="C20" i="21"/>
  <c r="F21" i="40"/>
  <c r="E21" i="45"/>
  <c r="F10" i="40"/>
  <c r="G41" i="5"/>
  <c r="G31" i="5"/>
  <c r="G18" i="5"/>
  <c r="G33" i="6"/>
  <c r="K20" i="18" l="1"/>
  <c r="J20" i="18"/>
  <c r="H20" i="21"/>
  <c r="F22" i="40"/>
  <c r="D27" i="40" s="1"/>
  <c r="G32" i="5"/>
  <c r="G50" i="5" s="1"/>
  <c r="G53" i="5" s="1"/>
  <c r="G34" i="6"/>
  <c r="D16" i="6" l="1"/>
  <c r="D26" i="40"/>
  <c r="D12" i="45" s="1"/>
  <c r="G12" i="45" s="1"/>
  <c r="E24" i="43"/>
  <c r="I10" i="7"/>
  <c r="I11" i="7"/>
  <c r="I12" i="7"/>
  <c r="I8" i="7"/>
  <c r="E17" i="43"/>
  <c r="I20" i="7" l="1"/>
  <c r="E9" i="43"/>
  <c r="D10" i="5" l="1"/>
  <c r="E10" i="1"/>
  <c r="D12" i="4"/>
  <c r="C17" i="41"/>
  <c r="D17" i="41"/>
  <c r="E17" i="41"/>
  <c r="F17" i="41"/>
  <c r="G17" i="41"/>
  <c r="B17" i="41"/>
  <c r="H15" i="41"/>
  <c r="H16" i="41"/>
  <c r="H14" i="41"/>
  <c r="C11" i="41"/>
  <c r="D11" i="41"/>
  <c r="E11" i="41"/>
  <c r="F11" i="41"/>
  <c r="G11" i="41"/>
  <c r="B11" i="41"/>
  <c r="H9" i="41"/>
  <c r="H10" i="41"/>
  <c r="H8" i="41"/>
  <c r="D23" i="20"/>
  <c r="H15" i="42"/>
  <c r="G15" i="42"/>
  <c r="F15" i="42"/>
  <c r="E15" i="42"/>
  <c r="D15" i="42"/>
  <c r="C15" i="42"/>
  <c r="I15" i="42" s="1"/>
  <c r="D16" i="42"/>
  <c r="E16" i="42"/>
  <c r="D10" i="20" s="1"/>
  <c r="G16" i="42"/>
  <c r="H16" i="42"/>
  <c r="C16" i="42"/>
  <c r="I9" i="42"/>
  <c r="E19" i="42" l="1"/>
  <c r="E29" i="1"/>
  <c r="H29" i="1" s="1"/>
  <c r="H19" i="42"/>
  <c r="D12" i="20"/>
  <c r="G19" i="42"/>
  <c r="D9" i="20"/>
  <c r="D19" i="42"/>
  <c r="D20" i="42" s="1"/>
  <c r="C19" i="42"/>
  <c r="C20" i="41"/>
  <c r="H20" i="42"/>
  <c r="D13" i="20"/>
  <c r="D8" i="20"/>
  <c r="E20" i="41"/>
  <c r="G20" i="41"/>
  <c r="F20" i="41"/>
  <c r="D20" i="41"/>
  <c r="H17" i="41"/>
  <c r="B20" i="41"/>
  <c r="H11" i="41"/>
  <c r="G20" i="42"/>
  <c r="F16" i="42"/>
  <c r="I16" i="42" s="1"/>
  <c r="E20" i="42"/>
  <c r="D11" i="20" l="1"/>
  <c r="D14" i="20" s="1"/>
  <c r="E28" i="1" s="1"/>
  <c r="F19" i="42"/>
  <c r="C20" i="42"/>
  <c r="H20" i="41"/>
  <c r="D17" i="6" s="1"/>
  <c r="F20" i="42"/>
  <c r="D22" i="24"/>
  <c r="E25" i="24" s="1"/>
  <c r="D19" i="39" s="1"/>
  <c r="D14" i="24"/>
  <c r="D10" i="24"/>
  <c r="E27" i="39"/>
  <c r="D27" i="39"/>
  <c r="E15" i="39"/>
  <c r="D15" i="39"/>
  <c r="D10" i="6" s="1"/>
  <c r="H90" i="11"/>
  <c r="H60" i="11"/>
  <c r="H89" i="11" s="1"/>
  <c r="E19" i="6" l="1"/>
  <c r="I19" i="42"/>
  <c r="I20" i="42" s="1"/>
  <c r="E17" i="24"/>
  <c r="D20" i="39" s="1"/>
  <c r="D21" i="39" s="1"/>
  <c r="D11" i="6" s="1"/>
  <c r="E21" i="39"/>
  <c r="G13" i="6" s="1"/>
  <c r="G20" i="6" s="1"/>
  <c r="G36" i="6" s="1"/>
  <c r="G42" i="6" s="1"/>
  <c r="H100" i="11"/>
  <c r="H88" i="11"/>
  <c r="H87" i="11"/>
  <c r="H84" i="11"/>
  <c r="H91" i="11" s="1"/>
  <c r="I10" i="19"/>
  <c r="I11" i="19"/>
  <c r="I12" i="19"/>
  <c r="I13" i="19"/>
  <c r="I14" i="19"/>
  <c r="I15" i="19"/>
  <c r="I16" i="19"/>
  <c r="I9" i="19"/>
  <c r="F10" i="19"/>
  <c r="J10" i="19" s="1"/>
  <c r="F11" i="19"/>
  <c r="J11" i="19" s="1"/>
  <c r="F12" i="19"/>
  <c r="J12" i="19" s="1"/>
  <c r="F13" i="19"/>
  <c r="J13" i="19" s="1"/>
  <c r="F14" i="19"/>
  <c r="J14" i="19" s="1"/>
  <c r="F15" i="19"/>
  <c r="J15" i="19" s="1"/>
  <c r="F16" i="19"/>
  <c r="J16" i="19" s="1"/>
  <c r="F9" i="19"/>
  <c r="F132" i="30"/>
  <c r="F139" i="30" s="1"/>
  <c r="D40" i="5" s="1"/>
  <c r="F99" i="30"/>
  <c r="F95" i="30"/>
  <c r="H95" i="30" s="1"/>
  <c r="F87" i="30"/>
  <c r="F40" i="30"/>
  <c r="G21" i="15"/>
  <c r="G38" i="32"/>
  <c r="F138" i="30" l="1"/>
  <c r="D39" i="5" s="1"/>
  <c r="H99" i="30"/>
  <c r="H138" i="30" s="1"/>
  <c r="F136" i="30"/>
  <c r="D37" i="5" s="1"/>
  <c r="H87" i="30"/>
  <c r="H136" i="30" s="1"/>
  <c r="F135" i="30"/>
  <c r="D36" i="5" s="1"/>
  <c r="H40" i="30"/>
  <c r="H135" i="30" s="1"/>
  <c r="I19" i="19"/>
  <c r="H22" i="19" s="1"/>
  <c r="J9" i="19"/>
  <c r="H137" i="30"/>
  <c r="H132" i="30"/>
  <c r="H139" i="30" s="1"/>
  <c r="H92" i="11"/>
  <c r="H102" i="11" s="1"/>
  <c r="H24" i="27"/>
  <c r="H26" i="27"/>
  <c r="E41" i="5" l="1"/>
  <c r="F140" i="30"/>
  <c r="H140" i="30"/>
  <c r="D9" i="43"/>
  <c r="D25" i="6" s="1"/>
  <c r="G142" i="33"/>
  <c r="G143" i="33"/>
  <c r="G144" i="33"/>
  <c r="G145" i="33"/>
  <c r="G146" i="33"/>
  <c r="G147" i="33"/>
  <c r="G148" i="33"/>
  <c r="G149" i="33"/>
  <c r="G150" i="33"/>
  <c r="G151" i="33"/>
  <c r="G152" i="33"/>
  <c r="G153" i="33"/>
  <c r="G154" i="33"/>
  <c r="G141" i="33"/>
  <c r="G135" i="33"/>
  <c r="G136" i="33"/>
  <c r="G137" i="33"/>
  <c r="G134" i="33"/>
  <c r="G128" i="33"/>
  <c r="G129" i="33"/>
  <c r="G130" i="33"/>
  <c r="G127" i="33"/>
  <c r="G119" i="33"/>
  <c r="G120" i="33"/>
  <c r="G121" i="33"/>
  <c r="G122" i="33"/>
  <c r="G123" i="33"/>
  <c r="G118" i="33"/>
  <c r="G85" i="33"/>
  <c r="G86" i="33"/>
  <c r="G87" i="33"/>
  <c r="G88" i="33"/>
  <c r="G89" i="33"/>
  <c r="G90" i="33"/>
  <c r="G91" i="33"/>
  <c r="G92" i="33"/>
  <c r="G93" i="33"/>
  <c r="G94" i="33"/>
  <c r="G95" i="33"/>
  <c r="G96" i="33"/>
  <c r="G97" i="33"/>
  <c r="G98" i="33"/>
  <c r="G99" i="33"/>
  <c r="G100" i="33"/>
  <c r="G101" i="33"/>
  <c r="G102" i="33"/>
  <c r="G103" i="33"/>
  <c r="G104" i="33"/>
  <c r="G105" i="33"/>
  <c r="G106" i="33"/>
  <c r="G108" i="33"/>
  <c r="G109" i="33"/>
  <c r="G110" i="33"/>
  <c r="G111" i="33"/>
  <c r="G112" i="33"/>
  <c r="G113" i="33"/>
  <c r="G114" i="33"/>
  <c r="G84" i="33"/>
  <c r="G77" i="33"/>
  <c r="G78" i="33"/>
  <c r="G79" i="33"/>
  <c r="G80" i="33"/>
  <c r="G76" i="33"/>
  <c r="G9" i="33"/>
  <c r="G10" i="33"/>
  <c r="G11" i="33"/>
  <c r="G12" i="33"/>
  <c r="G13" i="33"/>
  <c r="G14" i="33"/>
  <c r="G15" i="33"/>
  <c r="G16" i="33"/>
  <c r="G17" i="33"/>
  <c r="G18" i="33"/>
  <c r="G19" i="33"/>
  <c r="G20" i="33"/>
  <c r="G21" i="33"/>
  <c r="G22" i="33"/>
  <c r="G23" i="33"/>
  <c r="G24" i="33"/>
  <c r="G25" i="33"/>
  <c r="G26" i="33"/>
  <c r="G27" i="33"/>
  <c r="G28" i="33"/>
  <c r="G29" i="33"/>
  <c r="G30" i="33"/>
  <c r="G31" i="33"/>
  <c r="G32" i="33"/>
  <c r="G33" i="33"/>
  <c r="G34" i="33"/>
  <c r="G37" i="33"/>
  <c r="G38" i="33"/>
  <c r="G39" i="33"/>
  <c r="G40" i="33"/>
  <c r="G41" i="33"/>
  <c r="G42" i="33"/>
  <c r="G43" i="33"/>
  <c r="G44" i="33"/>
  <c r="G45" i="33"/>
  <c r="G46" i="33"/>
  <c r="G47" i="33"/>
  <c r="G48" i="33"/>
  <c r="G49" i="33"/>
  <c r="G50" i="33"/>
  <c r="G51" i="33"/>
  <c r="G52" i="33"/>
  <c r="G53" i="33"/>
  <c r="G54" i="33"/>
  <c r="G55" i="33"/>
  <c r="G56" i="33"/>
  <c r="G57" i="33"/>
  <c r="G58" i="33"/>
  <c r="G59" i="33"/>
  <c r="G60" i="33"/>
  <c r="G61" i="33"/>
  <c r="G62" i="33"/>
  <c r="G63" i="33"/>
  <c r="G64" i="33"/>
  <c r="G65" i="33"/>
  <c r="G66" i="33"/>
  <c r="G67" i="33"/>
  <c r="G68" i="33"/>
  <c r="G69" i="33"/>
  <c r="G70" i="33"/>
  <c r="G71" i="33"/>
  <c r="G72" i="33"/>
  <c r="G8" i="33"/>
  <c r="E155" i="33"/>
  <c r="E27" i="27" s="1"/>
  <c r="E138" i="33"/>
  <c r="E25" i="27" s="1"/>
  <c r="E131" i="33"/>
  <c r="E23" i="27" s="1"/>
  <c r="E124" i="33"/>
  <c r="E22" i="27" s="1"/>
  <c r="E115" i="33"/>
  <c r="E21" i="27" s="1"/>
  <c r="F115" i="33"/>
  <c r="F21" i="27" s="1"/>
  <c r="E81" i="33"/>
  <c r="E20" i="27" s="1"/>
  <c r="E73" i="33"/>
  <c r="E19" i="27" s="1"/>
  <c r="D9" i="6"/>
  <c r="D33" i="4" l="1"/>
  <c r="F142" i="30"/>
  <c r="G8" i="47"/>
  <c r="D8" i="47"/>
  <c r="G155" i="33"/>
  <c r="G138" i="33"/>
  <c r="G131" i="33"/>
  <c r="G115" i="33"/>
  <c r="G124" i="33"/>
  <c r="G81" i="33"/>
  <c r="E18" i="47"/>
  <c r="E156" i="33"/>
  <c r="G73" i="33"/>
  <c r="H28" i="1"/>
  <c r="I18" i="47" l="1"/>
  <c r="G18" i="47" s="1"/>
  <c r="G27" i="47"/>
  <c r="F11" i="47"/>
  <c r="F12" i="47"/>
  <c r="G33" i="4"/>
  <c r="K31" i="4"/>
  <c r="H33" i="4"/>
  <c r="G47" i="47"/>
  <c r="H21" i="27"/>
  <c r="G156" i="33"/>
  <c r="B18" i="1"/>
  <c r="F31" i="16"/>
  <c r="F32" i="16" s="1"/>
  <c r="E11" i="15"/>
  <c r="E27" i="4" s="1"/>
  <c r="E21" i="15"/>
  <c r="F21" i="15"/>
  <c r="D21" i="15"/>
  <c r="E38" i="1" s="1"/>
  <c r="H38" i="1" s="1"/>
  <c r="G11" i="15"/>
  <c r="D11" i="15"/>
  <c r="E24" i="1" s="1"/>
  <c r="F9" i="16"/>
  <c r="F11" i="16"/>
  <c r="F8" i="16"/>
  <c r="H11" i="27"/>
  <c r="H13" i="27"/>
  <c r="H14" i="27"/>
  <c r="H15" i="27"/>
  <c r="H16" i="27"/>
  <c r="F17" i="27"/>
  <c r="E13" i="4" s="1"/>
  <c r="F155" i="33"/>
  <c r="F27" i="27" s="1"/>
  <c r="F138" i="33"/>
  <c r="F25" i="27" s="1"/>
  <c r="F124" i="33"/>
  <c r="F22" i="27" s="1"/>
  <c r="F81" i="33"/>
  <c r="F20" i="27" s="1"/>
  <c r="G12" i="47" l="1"/>
  <c r="E22" i="47"/>
  <c r="H27" i="4"/>
  <c r="G27" i="4"/>
  <c r="E23" i="15"/>
  <c r="F39" i="1"/>
  <c r="H22" i="27"/>
  <c r="H25" i="27"/>
  <c r="H27" i="27"/>
  <c r="H20" i="27"/>
  <c r="F14" i="16"/>
  <c r="H17" i="1"/>
  <c r="H25" i="1"/>
  <c r="F73" i="33"/>
  <c r="F19" i="27" s="1"/>
  <c r="E39" i="1"/>
  <c r="I22" i="47" l="1"/>
  <c r="G22" i="47" s="1"/>
  <c r="G31" i="47"/>
  <c r="H39" i="1"/>
  <c r="F156" i="33"/>
  <c r="F18" i="1"/>
  <c r="H19" i="27" l="1"/>
  <c r="F28" i="27"/>
  <c r="I19" i="14"/>
  <c r="H27" i="1"/>
  <c r="F29" i="27" l="1"/>
  <c r="E14" i="4"/>
  <c r="E21" i="4" s="1"/>
  <c r="B32" i="1"/>
  <c r="B34" i="1" s="1"/>
  <c r="B41" i="1" s="1"/>
  <c r="F100" i="11"/>
  <c r="E21" i="16"/>
  <c r="F21" i="16"/>
  <c r="D21" i="16"/>
  <c r="H12" i="27"/>
  <c r="H23" i="27"/>
  <c r="H28" i="27" s="1"/>
  <c r="H10" i="27"/>
  <c r="H9" i="1"/>
  <c r="D16" i="5" l="1"/>
  <c r="D29" i="5"/>
  <c r="E31" i="1"/>
  <c r="E16" i="1"/>
  <c r="H16" i="1" s="1"/>
  <c r="D31" i="4"/>
  <c r="G31" i="4" s="1"/>
  <c r="D16" i="4"/>
  <c r="H31" i="1"/>
  <c r="H15" i="1"/>
  <c r="H17" i="27"/>
  <c r="E17" i="27"/>
  <c r="E28" i="27"/>
  <c r="E12" i="1" s="1"/>
  <c r="F11" i="15"/>
  <c r="E11" i="1" l="1"/>
  <c r="H11" i="1" s="1"/>
  <c r="D11" i="5"/>
  <c r="D13" i="4"/>
  <c r="G39" i="47" s="1"/>
  <c r="D12" i="5"/>
  <c r="D14" i="4"/>
  <c r="G37" i="47" s="1"/>
  <c r="G16" i="4"/>
  <c r="G43" i="47"/>
  <c r="G56" i="47"/>
  <c r="H12" i="1"/>
  <c r="H29" i="27"/>
  <c r="E29" i="27"/>
  <c r="H14" i="4" l="1"/>
  <c r="G14" i="4"/>
  <c r="H13" i="4"/>
  <c r="G13" i="4"/>
  <c r="F90" i="11"/>
  <c r="F84" i="11"/>
  <c r="F91" i="11" s="1"/>
  <c r="F60" i="11"/>
  <c r="F89" i="11" s="1"/>
  <c r="F57" i="11"/>
  <c r="F88" i="11" s="1"/>
  <c r="F32" i="11"/>
  <c r="F87" i="11" s="1"/>
  <c r="H26" i="1" l="1"/>
  <c r="F92" i="11"/>
  <c r="F102" i="11" s="1"/>
  <c r="H24" i="1"/>
  <c r="D24" i="43"/>
  <c r="D27" i="6" s="1"/>
  <c r="E21" i="1" l="1"/>
  <c r="E32" i="1" s="1"/>
  <c r="H6" i="43"/>
  <c r="H8" i="43" s="1"/>
  <c r="D13" i="43" s="1"/>
  <c r="D17" i="43" s="1"/>
  <c r="D26" i="6" s="1"/>
  <c r="E28" i="6" s="1"/>
  <c r="F32" i="1"/>
  <c r="F34" i="1" s="1"/>
  <c r="F41" i="1" s="1"/>
  <c r="E31" i="5"/>
  <c r="H21" i="1"/>
  <c r="H32" i="1" s="1"/>
  <c r="J9" i="9"/>
  <c r="J10" i="9"/>
  <c r="J11" i="9"/>
  <c r="J12" i="9"/>
  <c r="J13" i="9"/>
  <c r="J8" i="9"/>
  <c r="G21" i="8"/>
  <c r="F21" i="8"/>
  <c r="D21" i="8"/>
  <c r="C21" i="8"/>
  <c r="J20" i="9" l="1"/>
  <c r="E37" i="4"/>
  <c r="E21" i="8"/>
  <c r="H21" i="8"/>
  <c r="D8" i="5" l="1"/>
  <c r="E8" i="1"/>
  <c r="D10" i="4"/>
  <c r="G34" i="47" s="1"/>
  <c r="G37" i="18"/>
  <c r="C39" i="18" s="1"/>
  <c r="D31" i="6" s="1"/>
  <c r="F38" i="18"/>
  <c r="H10" i="4"/>
  <c r="G10" i="4"/>
  <c r="H8" i="1"/>
  <c r="G11" i="47"/>
  <c r="D46" i="5" l="1"/>
  <c r="E48" i="5" s="1"/>
  <c r="D35" i="4"/>
  <c r="D11" i="47"/>
  <c r="E38" i="18"/>
  <c r="E33" i="6"/>
  <c r="E34" i="6" s="1"/>
  <c r="G12" i="4"/>
  <c r="G21" i="4" s="1"/>
  <c r="G22" i="4" s="1"/>
  <c r="E18" i="1"/>
  <c r="E18" i="5"/>
  <c r="G13" i="47"/>
  <c r="E21" i="47"/>
  <c r="G53" i="47" l="1"/>
  <c r="G57" i="47" s="1"/>
  <c r="H35" i="4"/>
  <c r="G35" i="4"/>
  <c r="G37" i="4" s="1"/>
  <c r="G38" i="4" s="1"/>
  <c r="D37" i="4"/>
  <c r="H37" i="4" s="1"/>
  <c r="I21" i="47"/>
  <c r="G21" i="47" s="1"/>
  <c r="F31" i="47"/>
  <c r="E34" i="1"/>
  <c r="H12" i="4"/>
  <c r="D21" i="4"/>
  <c r="D22" i="4" s="1"/>
  <c r="G38" i="47"/>
  <c r="G44" i="47" s="1"/>
  <c r="E23" i="47"/>
  <c r="I23" i="47" s="1"/>
  <c r="G23" i="47" s="1"/>
  <c r="E32" i="5"/>
  <c r="E50" i="5" s="1"/>
  <c r="E53" i="5" s="1"/>
  <c r="D7" i="47"/>
  <c r="H10" i="1"/>
  <c r="H18" i="1" s="1"/>
  <c r="H34" i="1" s="1"/>
  <c r="H41" i="1" s="1"/>
  <c r="D38" i="4" l="1"/>
  <c r="E41" i="1"/>
  <c r="F14" i="45" s="1"/>
  <c r="F19" i="45" s="1"/>
  <c r="D40" i="6" s="1"/>
  <c r="H21" i="4"/>
  <c r="E55" i="5"/>
  <c r="E13" i="6"/>
  <c r="I16" i="6" s="1"/>
  <c r="E17" i="47"/>
  <c r="F27" i="47" s="1"/>
  <c r="G7" i="47"/>
  <c r="G9" i="47"/>
  <c r="E22" i="4"/>
  <c r="G19" i="45" l="1"/>
  <c r="D39" i="6" s="1"/>
  <c r="E42" i="6" s="1"/>
  <c r="H22" i="4"/>
  <c r="E38" i="4"/>
  <c r="E19" i="47"/>
  <c r="I19" i="47" s="1"/>
  <c r="G19" i="47" s="1"/>
  <c r="I17" i="47"/>
  <c r="G17" i="47" s="1"/>
  <c r="E20" i="6" l="1"/>
  <c r="E36" i="6" l="1"/>
  <c r="K38" i="6" s="1"/>
</calcChain>
</file>

<file path=xl/comments1.xml><?xml version="1.0" encoding="utf-8"?>
<comments xmlns="http://schemas.openxmlformats.org/spreadsheetml/2006/main">
  <authors>
    <author>MAIN ACCOUNT</author>
  </authors>
  <commentList>
    <comment ref="F108" authorId="0" shapeId="0">
      <text>
        <r>
          <rPr>
            <b/>
            <sz val="9"/>
            <color indexed="81"/>
            <rFont val="Tahoma"/>
            <family val="2"/>
          </rPr>
          <t>MAIN ACCOUNT:</t>
        </r>
        <r>
          <rPr>
            <sz val="9"/>
            <color indexed="81"/>
            <rFont val="Tahoma"/>
            <family val="2"/>
          </rPr>
          <t xml:space="preserve">
10% contribution to retirement savings fund account.</t>
        </r>
      </text>
    </comment>
    <comment ref="H260" authorId="0" shapeId="0">
      <text>
        <r>
          <rPr>
            <b/>
            <sz val="9"/>
            <color indexed="81"/>
            <rFont val="Tahoma"/>
            <family val="2"/>
          </rPr>
          <t>MAIN ACCOUNT:</t>
        </r>
        <r>
          <rPr>
            <sz val="9"/>
            <color indexed="81"/>
            <rFont val="Tahoma"/>
            <family val="2"/>
          </rPr>
          <t xml:space="preserve">
expenditure financed by aids and grants </t>
        </r>
      </text>
    </comment>
    <comment ref="F300" authorId="0" shapeId="0">
      <text>
        <r>
          <rPr>
            <b/>
            <sz val="9"/>
            <color indexed="81"/>
            <rFont val="Tahoma"/>
            <family val="2"/>
          </rPr>
          <t>MAIN ACCOUNT:</t>
        </r>
        <r>
          <rPr>
            <sz val="9"/>
            <color indexed="81"/>
            <rFont val="Tahoma"/>
            <family val="2"/>
          </rPr>
          <t xml:space="preserve">
sepip figure 108,158,543.81</t>
        </r>
      </text>
    </comment>
    <comment ref="F304" authorId="0" shapeId="0">
      <text>
        <r>
          <rPr>
            <b/>
            <sz val="9"/>
            <color indexed="81"/>
            <rFont val="Tahoma"/>
            <family val="2"/>
          </rPr>
          <t>MAIN ACCOUNT:</t>
        </r>
        <r>
          <rPr>
            <sz val="9"/>
            <color indexed="81"/>
            <rFont val="Tahoma"/>
            <family val="2"/>
          </rPr>
          <t xml:space="preserve">
sepip figure 313,172,383.28
</t>
        </r>
      </text>
    </comment>
    <comment ref="F317" authorId="0" shapeId="0">
      <text>
        <r>
          <rPr>
            <b/>
            <sz val="9"/>
            <color indexed="81"/>
            <rFont val="Tahoma"/>
            <family val="2"/>
          </rPr>
          <t>MAIN ACCOUNT:</t>
        </r>
        <r>
          <rPr>
            <sz val="9"/>
            <color indexed="81"/>
            <rFont val="Tahoma"/>
            <family val="2"/>
          </rPr>
          <t xml:space="preserve">
sepip figure 1,034,926.65
</t>
        </r>
      </text>
    </comment>
    <comment ref="F323" authorId="0" shapeId="0">
      <text>
        <r>
          <rPr>
            <b/>
            <sz val="9"/>
            <color indexed="81"/>
            <rFont val="Tahoma"/>
            <family val="2"/>
          </rPr>
          <t>MAIN ACCOUNT:</t>
        </r>
        <r>
          <rPr>
            <sz val="9"/>
            <color indexed="81"/>
            <rFont val="Tahoma"/>
            <family val="2"/>
          </rPr>
          <t xml:space="preserve">
sepip figure 4,145,
247.73</t>
        </r>
      </text>
    </comment>
    <comment ref="H323" authorId="0" shapeId="0">
      <text>
        <r>
          <rPr>
            <b/>
            <sz val="9"/>
            <color indexed="81"/>
            <rFont val="Tahoma"/>
            <family val="2"/>
          </rPr>
          <t>MAIN ACCOUNT:</t>
        </r>
        <r>
          <rPr>
            <sz val="9"/>
            <color indexed="81"/>
            <rFont val="Tahoma"/>
            <family val="2"/>
          </rPr>
          <t xml:space="preserve">
expendiyured finance by aids and grants 2,910,560
</t>
        </r>
      </text>
    </comment>
  </commentList>
</comments>
</file>

<file path=xl/sharedStrings.xml><?xml version="1.0" encoding="utf-8"?>
<sst xmlns="http://schemas.openxmlformats.org/spreadsheetml/2006/main" count="5300" uniqueCount="2050">
  <si>
    <t>EKITI STATE OF NIGERIA</t>
  </si>
  <si>
    <t>NOTES</t>
  </si>
  <si>
    <t>VARIANCE ON FINAL BUDGET</t>
  </si>
  <si>
    <t>N</t>
  </si>
  <si>
    <t>REVENUE</t>
  </si>
  <si>
    <t>Government Share of FAAC</t>
  </si>
  <si>
    <t>Tax Revenue</t>
  </si>
  <si>
    <t>Non-Tax Revenue</t>
  </si>
  <si>
    <t>Investment Income</t>
  </si>
  <si>
    <t>Interest Earned</t>
  </si>
  <si>
    <t>AID &amp; Grants</t>
  </si>
  <si>
    <t>Other Revenue</t>
  </si>
  <si>
    <t>EXPENDITURES</t>
  </si>
  <si>
    <t>Salaries and Wages</t>
  </si>
  <si>
    <t>Overhead Cost</t>
  </si>
  <si>
    <t>Subvention/Grants</t>
  </si>
  <si>
    <t>Depreciation Charges</t>
  </si>
  <si>
    <t>Amortisation Charges</t>
  </si>
  <si>
    <t>TOTAL REVENUE   (A)</t>
  </si>
  <si>
    <t>Public Debt Charges</t>
  </si>
  <si>
    <t>Gain/(Loss) on Disposal of Assets</t>
  </si>
  <si>
    <t>Current Assets</t>
  </si>
  <si>
    <t>Cash and Cash Equivalent</t>
  </si>
  <si>
    <t>Inventories</t>
  </si>
  <si>
    <t>Receivables</t>
  </si>
  <si>
    <t>TOTAL CURRENT ASSETS (A)</t>
  </si>
  <si>
    <t>NON-CURRENT ASSETS</t>
  </si>
  <si>
    <t>TOTAL NON-CURRENT ASSETS  (B)</t>
  </si>
  <si>
    <t>LIABILITIES</t>
  </si>
  <si>
    <t>Unremitted Deductions</t>
  </si>
  <si>
    <t>TOTAL ASSETS    (C=A+B)</t>
  </si>
  <si>
    <t>TOTAL CURRENT LIABILITIES   (D)</t>
  </si>
  <si>
    <t>Non-Current Liabilities</t>
  </si>
  <si>
    <t>TOTAL NON-CURRENT LIABILITIES (E)</t>
  </si>
  <si>
    <t>TOTAL LIABILITIES  (F=D+E)</t>
  </si>
  <si>
    <t>NET ASSETS (G=C-F)</t>
  </si>
  <si>
    <t>NET ASSETS/EQUITY</t>
  </si>
  <si>
    <t>Accumulated Surplus/(Deficit)</t>
  </si>
  <si>
    <t>CASH FLOWS FROM OPERATING ACTIVITIES</t>
  </si>
  <si>
    <t>INFLOWS</t>
  </si>
  <si>
    <t>VAT</t>
  </si>
  <si>
    <t>OUTFLOWS</t>
  </si>
  <si>
    <t>Transfer to Other Fund</t>
  </si>
  <si>
    <t>PURCHASE/CONSTRUCTION OF ASSETS:</t>
  </si>
  <si>
    <t>Administrative Sector</t>
  </si>
  <si>
    <t>Economic Sector</t>
  </si>
  <si>
    <t>Law and Justice Sector</t>
  </si>
  <si>
    <t>Regional Sector</t>
  </si>
  <si>
    <t>Social Service Sector</t>
  </si>
  <si>
    <t>NET CASH FLOW FROM INVESTING ACTIVITIES</t>
  </si>
  <si>
    <t>CASH FLOWS FROM INVESTING ACTIVITIES</t>
  </si>
  <si>
    <t>CASH FLOWS FROM FINANCING ACTIVITIES</t>
  </si>
  <si>
    <t>Proceeds from Domestic Loans</t>
  </si>
  <si>
    <t>Proceeds from Foreign Loans</t>
  </si>
  <si>
    <t>NET CASH FLOW FROM FINANCING ACTIVITIES</t>
  </si>
  <si>
    <t>NET CASH FLOW FROM ALL ACTIVITIES</t>
  </si>
  <si>
    <t>CASH &amp; ITS EQUIVALENT AS AT 1ST OF JANUARY</t>
  </si>
  <si>
    <t>PERFORMANCE</t>
  </si>
  <si>
    <t>RECEIPTS</t>
  </si>
  <si>
    <t>PAYMENTS</t>
  </si>
  <si>
    <t>TOTAL PAYMENTS</t>
  </si>
  <si>
    <t>NET RECEIPTS</t>
  </si>
  <si>
    <t>MONTH</t>
  </si>
  <si>
    <t>NET RECEIPT</t>
  </si>
  <si>
    <t>DEDUCTION AT SOURCE</t>
  </si>
  <si>
    <t>TOTAL</t>
  </si>
  <si>
    <t>JANUARY</t>
  </si>
  <si>
    <t xml:space="preserve">FEBRUARY </t>
  </si>
  <si>
    <t>MARCH</t>
  </si>
  <si>
    <t xml:space="preserve">APRIL </t>
  </si>
  <si>
    <t>MAY</t>
  </si>
  <si>
    <t>JUNE</t>
  </si>
  <si>
    <t>Other Statutory Revenue</t>
  </si>
  <si>
    <t>EXCHANGE RATE GAIN</t>
  </si>
  <si>
    <t>RECOVERED EXCESS BANK CHARGES</t>
  </si>
  <si>
    <t>A</t>
  </si>
  <si>
    <t>B</t>
  </si>
  <si>
    <t>C</t>
  </si>
  <si>
    <t>CONTRACTUAL OBLIGATION</t>
  </si>
  <si>
    <t>FOREIGN LOAN</t>
  </si>
  <si>
    <t>NUWSR PROJECT</t>
  </si>
  <si>
    <t>BOND ISSUANCE PROGRAMME 2</t>
  </si>
  <si>
    <t xml:space="preserve">RESTRUCTURING OF  COMM. BANK LOAN </t>
  </si>
  <si>
    <t>FG BAIL OUT</t>
  </si>
  <si>
    <t>EXCESS CRUDE LOAN</t>
  </si>
  <si>
    <t>D</t>
  </si>
  <si>
    <t>F</t>
  </si>
  <si>
    <t>S/NO</t>
  </si>
  <si>
    <t>ADMIN CODE</t>
  </si>
  <si>
    <t>HEAD</t>
  </si>
  <si>
    <t>ADMINISTRATIVE SECTOR</t>
  </si>
  <si>
    <t>BUDGET</t>
  </si>
  <si>
    <t xml:space="preserve">ACTUAL </t>
  </si>
  <si>
    <t>VARIANCE</t>
  </si>
  <si>
    <t>459-0400</t>
  </si>
  <si>
    <t>GOVERNOR OFFICE ( GAD )</t>
  </si>
  <si>
    <t>011100100200</t>
  </si>
  <si>
    <t>459-1500</t>
  </si>
  <si>
    <t>OFFIC OF THE DEPUTY GOVERNOR</t>
  </si>
  <si>
    <t>011100300100</t>
  </si>
  <si>
    <t>459-5400</t>
  </si>
  <si>
    <t>EKITI STATE BOUNDARY COMMISSION</t>
  </si>
  <si>
    <t>011100800100</t>
  </si>
  <si>
    <t>458-1200</t>
  </si>
  <si>
    <t>STATE EMERGENCY MANAGEMENT AGENCY (SEMA)</t>
  </si>
  <si>
    <t>011101300200</t>
  </si>
  <si>
    <t>459-5100</t>
  </si>
  <si>
    <t>POLITICAL AND ECONOMIC AFFAIRS DEPARTMENT.</t>
  </si>
  <si>
    <t>459-5102</t>
  </si>
  <si>
    <t>POLITICAL APPOINTEES</t>
  </si>
  <si>
    <t>011102100100</t>
  </si>
  <si>
    <t>459-0900</t>
  </si>
  <si>
    <t>EKITI STATE LIAISON OFFICE -LAGOS</t>
  </si>
  <si>
    <t>011102100200</t>
  </si>
  <si>
    <t>459-1000</t>
  </si>
  <si>
    <t>EKITI STATE LIAISON OFFICE -ABUJA</t>
  </si>
  <si>
    <t>011103700100</t>
  </si>
  <si>
    <t>459-1900</t>
  </si>
  <si>
    <t>MUSLIM PILGRIM WELFARE BOARD</t>
  </si>
  <si>
    <t>011103800100</t>
  </si>
  <si>
    <t>459-1800</t>
  </si>
  <si>
    <t>CHRISTIAN PILGRIM WELFARE BOARD</t>
  </si>
  <si>
    <t>011104400100</t>
  </si>
  <si>
    <t>458-1100</t>
  </si>
  <si>
    <t>MINISTRY OF SPECIAL DUTIES</t>
  </si>
  <si>
    <t>011111300100</t>
  </si>
  <si>
    <t>459-1600</t>
  </si>
  <si>
    <t>GOVERNMENT HOUSE PROTOCOL</t>
  </si>
  <si>
    <t>011111300500</t>
  </si>
  <si>
    <t>459-3000</t>
  </si>
  <si>
    <t>CABINET DEPARTMENT GOV. OFFICE</t>
  </si>
  <si>
    <t>011113200100</t>
  </si>
  <si>
    <t>459-2000</t>
  </si>
  <si>
    <t>INTEGRATION &amp; INTER-GOVERNMENTAL AFFAIRS</t>
  </si>
  <si>
    <t>011200300100</t>
  </si>
  <si>
    <t>459-2100</t>
  </si>
  <si>
    <t>HOUSE OF ASSEMBLY</t>
  </si>
  <si>
    <t>012300100100</t>
  </si>
  <si>
    <t>457-0100</t>
  </si>
  <si>
    <t xml:space="preserve">MINISTRY OF YOUTH AND SPORTS DEVELOPMENT </t>
  </si>
  <si>
    <t>012300300100</t>
  </si>
  <si>
    <t>457-0200</t>
  </si>
  <si>
    <t>BROADCASTING SERVICE OF EKITI STATE</t>
  </si>
  <si>
    <t>012500500100</t>
  </si>
  <si>
    <t>459-2300</t>
  </si>
  <si>
    <t>OFFICE OF ESTABLISHMENT AND TRAINING</t>
  </si>
  <si>
    <t>014000100100</t>
  </si>
  <si>
    <t>459-2800</t>
  </si>
  <si>
    <t>STATE AUDITOR GENERAL OFFICE</t>
  </si>
  <si>
    <t>459-2900</t>
  </si>
  <si>
    <t>AUDITOR GENERAL FOR LOCAL GOVT.</t>
  </si>
  <si>
    <t>014700100100</t>
  </si>
  <si>
    <t>459-3900</t>
  </si>
  <si>
    <t>CIVIL SERVICE COMMISSION</t>
  </si>
  <si>
    <t>014700300100</t>
  </si>
  <si>
    <t>459-2700</t>
  </si>
  <si>
    <t>EKITI STATE LOCAL GOVERNMENT SERVICE COMMISSION</t>
  </si>
  <si>
    <t>014800100100</t>
  </si>
  <si>
    <t>459-4100</t>
  </si>
  <si>
    <t>STATE INDEPENDENT ELECTORAL COMMISSION</t>
  </si>
  <si>
    <t>TOTAL ADMINISTRATIVE SECTOR</t>
  </si>
  <si>
    <t>ECONOMIC SECTOR</t>
  </si>
  <si>
    <t>021500100100</t>
  </si>
  <si>
    <t>451-0100</t>
  </si>
  <si>
    <t xml:space="preserve"> MINISTRY OF AGRICULTURE AND RURAL DEVELOPMENT</t>
  </si>
  <si>
    <t>021502100200</t>
  </si>
  <si>
    <t>455-0200</t>
  </si>
  <si>
    <t>SCHOOL AGRICULTURE AND ENTERPRISE</t>
  </si>
  <si>
    <t>021510200100</t>
  </si>
  <si>
    <t>451-0500</t>
  </si>
  <si>
    <t xml:space="preserve">AGRICULTURAL DEVELOPMENT PROJECT </t>
  </si>
  <si>
    <t>021511000100</t>
  </si>
  <si>
    <t>451-0300</t>
  </si>
  <si>
    <t>FOUNTAIN AGRIC MARKETING AGENCY</t>
  </si>
  <si>
    <t>022000100100</t>
  </si>
  <si>
    <t>453-0400</t>
  </si>
  <si>
    <t>MINISTRY OF FINANCE AND ECONOMIC DEVELOPMENT</t>
  </si>
  <si>
    <t>022000800100</t>
  </si>
  <si>
    <t>459-3800</t>
  </si>
  <si>
    <t>INTERNAL REVENUE SERVICE</t>
  </si>
  <si>
    <t>022000800200</t>
  </si>
  <si>
    <t>459-3109</t>
  </si>
  <si>
    <t>SUSTAINABLE IGR COMMITTEE</t>
  </si>
  <si>
    <t>022000800300</t>
  </si>
  <si>
    <t>459-0800</t>
  </si>
  <si>
    <t>EKITI STATE SIGNAGE AND ADVERTISEMENT (IRS)</t>
  </si>
  <si>
    <t>022200100100</t>
  </si>
  <si>
    <t>452-0100</t>
  </si>
  <si>
    <t>MINISTRY OF COMMERCE, INDUSTRIES AND COOPERATIVES</t>
  </si>
  <si>
    <t>022200100600</t>
  </si>
  <si>
    <t>454-0300</t>
  </si>
  <si>
    <t>MULTI PURPOSE CREDIT AGENCY</t>
  </si>
  <si>
    <t>022700500100</t>
  </si>
  <si>
    <t>454-0200</t>
  </si>
  <si>
    <t>JOB CREATION AND EMPLOYMENT AGENCY</t>
  </si>
  <si>
    <t>023100300100</t>
  </si>
  <si>
    <t>454-0600</t>
  </si>
  <si>
    <t xml:space="preserve">EKITI STATE ELECTRICITY BOARD </t>
  </si>
  <si>
    <t>023305100100</t>
  </si>
  <si>
    <t>459-5601</t>
  </si>
  <si>
    <t>EKITI STATE MINERAL RESOURCES DEVELOPMENT AGENCY</t>
  </si>
  <si>
    <t>023305100200</t>
  </si>
  <si>
    <t>MINERAL RESOURCES AND ENVIRONMENTAL COMMITTEE</t>
  </si>
  <si>
    <t>023400100100</t>
  </si>
  <si>
    <t>454-1000</t>
  </si>
  <si>
    <t>MINISTRY OF WORKS AND TRANSPORT</t>
  </si>
  <si>
    <t>023400200100</t>
  </si>
  <si>
    <t>458-0500</t>
  </si>
  <si>
    <t>OFFICE OF SURVEYOR -GENERAL OF THE STATE</t>
  </si>
  <si>
    <t>023400400100</t>
  </si>
  <si>
    <t>454-1400</t>
  </si>
  <si>
    <t>EKITI STATE ROAD MAINTENMENT AGENCY (EKROMA)(PUBLIC WORKS CORPORATION)</t>
  </si>
  <si>
    <t>023600400200</t>
  </si>
  <si>
    <t>453-0100</t>
  </si>
  <si>
    <t>BUREAU OF TOURISM ART AND CULTURE</t>
  </si>
  <si>
    <t>023800100100</t>
  </si>
  <si>
    <t>459-3100</t>
  </si>
  <si>
    <t>BUDGET AND ECONOMIC PLANNING (MIN. OF BUDGET)</t>
  </si>
  <si>
    <t>023800400100</t>
  </si>
  <si>
    <t>459-3200</t>
  </si>
  <si>
    <t>BUREAU OF STATISTICS</t>
  </si>
  <si>
    <t>025210200100</t>
  </si>
  <si>
    <t>454-0800</t>
  </si>
  <si>
    <t>EKITI STATE WATER CORPORATION</t>
  </si>
  <si>
    <t>025210300100</t>
  </si>
  <si>
    <t>454-0900</t>
  </si>
  <si>
    <t>RURAL WATER SUPPLY AND SANITATION AGENCY</t>
  </si>
  <si>
    <t>025300100100</t>
  </si>
  <si>
    <t>458-0100</t>
  </si>
  <si>
    <t xml:space="preserve"> MINISTRY OF LAND, HOUSING AND URBAN DEVELOPMENT </t>
  </si>
  <si>
    <t>025301000100</t>
  </si>
  <si>
    <t>458-0200</t>
  </si>
  <si>
    <t xml:space="preserve">STATE HOUSING CORPORATION </t>
  </si>
  <si>
    <t>025305200100</t>
  </si>
  <si>
    <t>458-0300</t>
  </si>
  <si>
    <t>PLANNING PLANNING PERMIT AGENCY</t>
  </si>
  <si>
    <t>025305600100</t>
  </si>
  <si>
    <t>458-0600</t>
  </si>
  <si>
    <t>URBAN RENEWAL AGENCY</t>
  </si>
  <si>
    <t>026100100100</t>
  </si>
  <si>
    <t>454-0500</t>
  </si>
  <si>
    <t xml:space="preserve">MINISTRY OF PUBLIC UTILITIES </t>
  </si>
  <si>
    <t>TOTAL ECONOMICS SECTOR</t>
  </si>
  <si>
    <t>LAW AND JUSTICE SECTOR</t>
  </si>
  <si>
    <t>032600100100</t>
  </si>
  <si>
    <t>459-0100</t>
  </si>
  <si>
    <t xml:space="preserve"> MINISTRY OF JUSTICE</t>
  </si>
  <si>
    <t>TOTAL LAW AND JUSTICE SECTOR</t>
  </si>
  <si>
    <t>REGIONAL SECTOR</t>
  </si>
  <si>
    <t>SOCIAL SECTOR</t>
  </si>
  <si>
    <t>TOTAL REGIONAL SECTOR</t>
  </si>
  <si>
    <t>051400100100</t>
  </si>
  <si>
    <t>457-0600</t>
  </si>
  <si>
    <t xml:space="preserve"> MINISTRY OF WOMEN AFFAIRS, GENDER EMPOWERMENT &amp;SOCIAL WELFARE</t>
  </si>
  <si>
    <t>051400200200</t>
  </si>
  <si>
    <t>457-0700</t>
  </si>
  <si>
    <t>WOMEN DEVELOPMENT CENTRE, IGEDE-EKITI  (WOMENT AFFAIRS)</t>
  </si>
  <si>
    <t>051405500100</t>
  </si>
  <si>
    <t>457-0601</t>
  </si>
  <si>
    <t>STATE CHILD'S RIGHT IMPLEMENTATION AND MONITORING COMMITTEE (WOMEN AFFAIRS)</t>
  </si>
  <si>
    <t>051700100100</t>
  </si>
  <si>
    <t>455-0100</t>
  </si>
  <si>
    <t xml:space="preserve"> MINISTRY OF EDUCATION, SCIENCE ND TECHNOLOGY</t>
  </si>
  <si>
    <t>455-0110</t>
  </si>
  <si>
    <t>SEPIP (MINISTRY OF EDUCATION)</t>
  </si>
  <si>
    <t>455-0410</t>
  </si>
  <si>
    <t>SEPIP  (SUBEB)</t>
  </si>
  <si>
    <t>455-0710</t>
  </si>
  <si>
    <t>SEPIP  (TSC)</t>
  </si>
  <si>
    <t>455-0510</t>
  </si>
  <si>
    <t>SEPIP  (BTVE)</t>
  </si>
  <si>
    <t>051700300100</t>
  </si>
  <si>
    <t>455-0400</t>
  </si>
  <si>
    <t>STATE UNIVERSAL BASIC EDUCATION  BOARD</t>
  </si>
  <si>
    <t>051700800100</t>
  </si>
  <si>
    <t>455-0800</t>
  </si>
  <si>
    <t>EKITI STATE LIBRARY BOARD</t>
  </si>
  <si>
    <t>051702600000</t>
  </si>
  <si>
    <t>455-1300</t>
  </si>
  <si>
    <t>NON-TEACHING STAFF  (TSC) HQ</t>
  </si>
  <si>
    <t>051705300100</t>
  </si>
  <si>
    <t>051705400100</t>
  </si>
  <si>
    <t>455-0700</t>
  </si>
  <si>
    <t>STATE TEACHING SERVICE COMMISSION</t>
  </si>
  <si>
    <t>051705500100</t>
  </si>
  <si>
    <t>455-0500</t>
  </si>
  <si>
    <t>BOARD FOR TECHNICAL AND VOCATIONAL EDUCATION</t>
  </si>
  <si>
    <t>051705500200</t>
  </si>
  <si>
    <t>455-0600</t>
  </si>
  <si>
    <t>AGENCY FOR ADULT AND NON-FORMAL EDUCATION</t>
  </si>
  <si>
    <t>051705500300</t>
  </si>
  <si>
    <t>452-0101</t>
  </si>
  <si>
    <t>COOPERATIVE DEPARTMENT AND COOPERATIVE COLLEGE, IJERO-EKITI</t>
  </si>
  <si>
    <t>051705600100</t>
  </si>
  <si>
    <t>455-0300</t>
  </si>
  <si>
    <t>STATE SCHOLARSHIP BOARD</t>
  </si>
  <si>
    <t>051705600200</t>
  </si>
  <si>
    <t>455-0900</t>
  </si>
  <si>
    <t>EDUCATION TRUST(ENDOWMENT) FUND</t>
  </si>
  <si>
    <t>052100100100</t>
  </si>
  <si>
    <t>456-0100</t>
  </si>
  <si>
    <t xml:space="preserve">MINISTRY OF HEALTH </t>
  </si>
  <si>
    <t>052100300100</t>
  </si>
  <si>
    <t>456-0400</t>
  </si>
  <si>
    <t>PRIMARY HEALTHCARE DEVELOPMENT AGENCY</t>
  </si>
  <si>
    <t>052110200100</t>
  </si>
  <si>
    <t>456-0600</t>
  </si>
  <si>
    <t xml:space="preserve">HOSPITAL MANAGEMENT BOARD </t>
  </si>
  <si>
    <t>052111300100</t>
  </si>
  <si>
    <t>456-0500</t>
  </si>
  <si>
    <t>CENTRAL MEDICAL STORE</t>
  </si>
  <si>
    <t>053500100100</t>
  </si>
  <si>
    <t>458-0700</t>
  </si>
  <si>
    <t xml:space="preserve"> MINISTRY OF ENVIRONMENT </t>
  </si>
  <si>
    <t>053501600100</t>
  </si>
  <si>
    <t>458-0900</t>
  </si>
  <si>
    <t>STATE ENVIRONMENTAL PROTECTION AGENCY</t>
  </si>
  <si>
    <t>053505300100</t>
  </si>
  <si>
    <t>458-1000</t>
  </si>
  <si>
    <t>EKITI STATE WASTE MANAGEMENT BOARD</t>
  </si>
  <si>
    <t>053905100100</t>
  </si>
  <si>
    <t>457-0500</t>
  </si>
  <si>
    <t>EKITI STATE SPORT COUNCIL</t>
  </si>
  <si>
    <t>053905100200</t>
  </si>
  <si>
    <t>0505100100100</t>
  </si>
  <si>
    <t>459-1300</t>
  </si>
  <si>
    <t>MINISTRY FOR LOCAL GOVERNMENT, COMMUNITY DEVELOPMENT AND CHIEFTANCY AFFAIRS-STATE</t>
  </si>
  <si>
    <t>TOTAL SOCIAL SECTOR</t>
  </si>
  <si>
    <t>ADMINISTRATION SECTOR</t>
  </si>
  <si>
    <t>PERSONEL COST SUMMARY</t>
  </si>
  <si>
    <t>CORPERS ALLOWANCE</t>
  </si>
  <si>
    <t>REPATRIATION</t>
  </si>
  <si>
    <t>LOCUM / INTERN</t>
  </si>
  <si>
    <t>LEAVE BONUS</t>
  </si>
  <si>
    <t>CHRISTMAS BONUS</t>
  </si>
  <si>
    <t>GRAND TOTAL</t>
  </si>
  <si>
    <t>NOTES TO THE FINANCIAL STATEMENTS</t>
  </si>
  <si>
    <t>MINISTRIES/DEPARTMENTS/AGENCIES</t>
  </si>
  <si>
    <t>011100100100</t>
  </si>
  <si>
    <t>011100100101</t>
  </si>
  <si>
    <t>459-1001</t>
  </si>
  <si>
    <t>EKITI STATE GOVERNORS LODGE, ABUJA</t>
  </si>
  <si>
    <t>011100100201</t>
  </si>
  <si>
    <t>459-1002</t>
  </si>
  <si>
    <t>EKITI STATE DEPUTY GOVERNORS LODGE, ABUJA</t>
  </si>
  <si>
    <t>011100200101</t>
  </si>
  <si>
    <t>459-1606</t>
  </si>
  <si>
    <t>OFFICE OF THE SPECIAL ADVISER GOVERNORS OFFICE (GH&amp;P)</t>
  </si>
  <si>
    <t>011100200118</t>
  </si>
  <si>
    <t>459-0410</t>
  </si>
  <si>
    <t>OFFICE OF PRIVATE SECRETARY TO GOVERNOR (GH&amp;P)</t>
  </si>
  <si>
    <t>459-5901</t>
  </si>
  <si>
    <t>BOUNDARY TECHNICAL COMMITTEE(D-GOV)</t>
  </si>
  <si>
    <t>011101000100</t>
  </si>
  <si>
    <t>459-0700</t>
  </si>
  <si>
    <t>BUREAU OF PUBLIC PROCUREMENT (BPP)</t>
  </si>
  <si>
    <t>011101000200</t>
  </si>
  <si>
    <t>459-3108</t>
  </si>
  <si>
    <t>STATE PROJECTS MONITORING AND EVALUATION OFFICE</t>
  </si>
  <si>
    <t>011101000300</t>
  </si>
  <si>
    <t>459-5902</t>
  </si>
  <si>
    <t>PROJECT EVALUATION COMMITTEE</t>
  </si>
  <si>
    <t>011101000400</t>
  </si>
  <si>
    <t>459-3300</t>
  </si>
  <si>
    <t>PROJECT MONITORING COMMITTEE</t>
  </si>
  <si>
    <t>011101300100</t>
  </si>
  <si>
    <t>459-0500</t>
  </si>
  <si>
    <t>SECRETARY TO THE STATE GOVERNMENT  (SSG)</t>
  </si>
  <si>
    <t>011101300300</t>
  </si>
  <si>
    <t>459-5107</t>
  </si>
  <si>
    <t>ECONOMIC AND PARASTATALS (P &amp; E)</t>
  </si>
  <si>
    <t>011101300400</t>
  </si>
  <si>
    <t>459-1200</t>
  </si>
  <si>
    <t>POLITICAL AND INTER-PARTY AFFAIRS (P &amp; E)</t>
  </si>
  <si>
    <t>011101300700</t>
  </si>
  <si>
    <t>459-5101</t>
  </si>
  <si>
    <t>NIREC (P &amp; E)</t>
  </si>
  <si>
    <t>011102000100</t>
  </si>
  <si>
    <t>459-5000</t>
  </si>
  <si>
    <t>EKITI STATE STOMACH INFRASTRUCTURE AGENCY</t>
  </si>
  <si>
    <t>011102100300</t>
  </si>
  <si>
    <t>459-1100</t>
  </si>
  <si>
    <t>EKITI STATE LIAISON OFFICE -AKURE</t>
  </si>
  <si>
    <t>011103400200</t>
  </si>
  <si>
    <t>459-4500</t>
  </si>
  <si>
    <t>BUREAU OF TRANSFORMATION AND STRATEGY</t>
  </si>
  <si>
    <t>011103500100</t>
  </si>
  <si>
    <t>459-2600</t>
  </si>
  <si>
    <t>EKITI STATE PENSION COMMISSION/BOARD</t>
  </si>
  <si>
    <t>011104800100</t>
  </si>
  <si>
    <t>459-0101</t>
  </si>
  <si>
    <t xml:space="preserve">EKITI STATE CITIZENS RIGHTS </t>
  </si>
  <si>
    <t>011110500100</t>
  </si>
  <si>
    <t>459-1700</t>
  </si>
  <si>
    <t>OFFICE OF THE CHIEF OF STAFF</t>
  </si>
  <si>
    <t>011110500101</t>
  </si>
  <si>
    <t>459-3902</t>
  </si>
  <si>
    <t>APPOINTMENT DEPARTMENT (CSC)</t>
  </si>
  <si>
    <t>011111100100</t>
  </si>
  <si>
    <t>452-0200</t>
  </si>
  <si>
    <t>PUBLIC-PRIVATE PARTNERSHIP</t>
  </si>
  <si>
    <t>011111300400</t>
  </si>
  <si>
    <t>459-1614</t>
  </si>
  <si>
    <t>MAINTENANCE OF GOVERNORS LODGE</t>
  </si>
  <si>
    <t>459-3001</t>
  </si>
  <si>
    <t>MAINTENANCE OF EXCO CHAMBERS</t>
  </si>
  <si>
    <t>011111400100</t>
  </si>
  <si>
    <t>459-1609</t>
  </si>
  <si>
    <t>CHIEF PRESS SECRETARY/ SA MEDIA</t>
  </si>
  <si>
    <t>011200400100</t>
  </si>
  <si>
    <t>459-2200</t>
  </si>
  <si>
    <t>HOUSE OF ASSEMBLY SERVIE COMMISSION</t>
  </si>
  <si>
    <t>012300200100</t>
  </si>
  <si>
    <t>457-0102</t>
  </si>
  <si>
    <t>MINISTRY OF INFORMATION, YOUTH AND SPORT (CIVIC ORIENTATION)</t>
  </si>
  <si>
    <t>012301300100</t>
  </si>
  <si>
    <t>457-0300</t>
  </si>
  <si>
    <t xml:space="preserve">GOVERNMENT PRINTING PRESS </t>
  </si>
  <si>
    <t>459-2302</t>
  </si>
  <si>
    <t>012400700100</t>
  </si>
  <si>
    <t>458-1102</t>
  </si>
  <si>
    <t>EKITI STATE FIRE SERVICE</t>
  </si>
  <si>
    <t>012500100100</t>
  </si>
  <si>
    <t>459-0600</t>
  </si>
  <si>
    <t xml:space="preserve"> OFFICE OF THE HEAD OF SERVICE </t>
  </si>
  <si>
    <t>012500100200</t>
  </si>
  <si>
    <t>459-3901</t>
  </si>
  <si>
    <t>PERSONNEL DEPARTMENT (CSC)</t>
  </si>
  <si>
    <t>012500500200</t>
  </si>
  <si>
    <t>ESTABLISHMENT AND MANAGEMENT SERVICES DEPT. (ESTABS)</t>
  </si>
  <si>
    <t>012500500300</t>
  </si>
  <si>
    <t>459-2304</t>
  </si>
  <si>
    <t>PENSIONS DEPARTMENT (ESTABS)</t>
  </si>
  <si>
    <t>012500500400</t>
  </si>
  <si>
    <t>459-2305</t>
  </si>
  <si>
    <t>STAFF MATTERS AND INDUSTRIAL RELATIONS DEPARTMENT (ESTABS)</t>
  </si>
  <si>
    <t>012500500500</t>
  </si>
  <si>
    <t>459-2306</t>
  </si>
  <si>
    <t>TRAINING AND MANPOWER DEPARTMENT (ESTABS)</t>
  </si>
  <si>
    <t>012500500600</t>
  </si>
  <si>
    <t>459-2400</t>
  </si>
  <si>
    <t>STAFF DEVELOPMENT CENTRE (ESTABS)</t>
  </si>
  <si>
    <t>012500500700</t>
  </si>
  <si>
    <t>459-2500</t>
  </si>
  <si>
    <t>STAFF HOUSING LOANS BOARD (ESTABS)</t>
  </si>
  <si>
    <t>012500600100</t>
  </si>
  <si>
    <t>459-0601</t>
  </si>
  <si>
    <t>PUBLIC SERVICE COORDINATING UNIT (HOS)</t>
  </si>
  <si>
    <t>014000100300</t>
  </si>
  <si>
    <t>OFFICE OF THE AUDITOR GENERAL FOR LOCAL GOVERNMENT</t>
  </si>
  <si>
    <t>014700200100</t>
  </si>
  <si>
    <t>459-4600</t>
  </si>
  <si>
    <t>CIVIL SERVICE TRANSFORMATION</t>
  </si>
  <si>
    <t>459-3113</t>
  </si>
  <si>
    <t>MEDIUM TERM EXPENDITURE FRAMEWORK</t>
  </si>
  <si>
    <t>459-2803</t>
  </si>
  <si>
    <t>MONITORING AND SPECIAL AUDIT DEPARTMENT</t>
  </si>
  <si>
    <t>459-2601</t>
  </si>
  <si>
    <t>PENSION TRANSITION ARRANGEMENT DEPARTMENT (PTAD)</t>
  </si>
  <si>
    <t>459-0413</t>
  </si>
  <si>
    <t>GOVERNMENT ASSETS UNIT</t>
  </si>
  <si>
    <t>HUMAN CAPITAL DEVELOPMENT</t>
  </si>
  <si>
    <t>459-3115</t>
  </si>
  <si>
    <t>ACTIVITIES OF THE NATIONAL CASH TRANSFER OFFICE</t>
  </si>
  <si>
    <t>459-3114</t>
  </si>
  <si>
    <t>DEVELOPMENT PARTNERS AND AIDS COORDINATION (MBEP)</t>
  </si>
  <si>
    <t>459-5903</t>
  </si>
  <si>
    <t>STATE FISCAL EFFICIENCY UNIT</t>
  </si>
  <si>
    <t>MANAGEMENT SERVICE DEPT. (AG)</t>
  </si>
  <si>
    <t>459 -070</t>
  </si>
  <si>
    <t>SUPERVISION AND MONITORING OF PROJECT (BPP)</t>
  </si>
  <si>
    <t>021500100200</t>
  </si>
  <si>
    <t>451-1100</t>
  </si>
  <si>
    <t>RURAL DEVELOPMENT</t>
  </si>
  <si>
    <t>021500100300</t>
  </si>
  <si>
    <t>451-0200</t>
  </si>
  <si>
    <t>DIRECTORATE OF FARM SETTLEMENT AND PEASANT FARMER DEVELOPMENT</t>
  </si>
  <si>
    <t>021510200200</t>
  </si>
  <si>
    <t>451-0600</t>
  </si>
  <si>
    <t>FADAMA PROJECT</t>
  </si>
  <si>
    <t>021510200400</t>
  </si>
  <si>
    <t>459-5900</t>
  </si>
  <si>
    <t>STATE COMMITTEE ON FOOD AND NUTRITION (UNICEF ASSISTED)</t>
  </si>
  <si>
    <t>021510900100</t>
  </si>
  <si>
    <t>458-0800</t>
  </si>
  <si>
    <t>FORESTRY DEPARTMENT</t>
  </si>
  <si>
    <t>022000200100</t>
  </si>
  <si>
    <t>453-0403</t>
  </si>
  <si>
    <t>DEBT MANAGEMENT OFFICE</t>
  </si>
  <si>
    <t>022000300100</t>
  </si>
  <si>
    <t>459-3104</t>
  </si>
  <si>
    <t>BUDGET    DEPARTMENT</t>
  </si>
  <si>
    <t>022000400100</t>
  </si>
  <si>
    <t>453-0405</t>
  </si>
  <si>
    <t>EXPENDITURE DEPARTMENT</t>
  </si>
  <si>
    <t>022000500100</t>
  </si>
  <si>
    <t>453-0406</t>
  </si>
  <si>
    <t>STATE FINANCES DEPARTMENT</t>
  </si>
  <si>
    <t>022000600100</t>
  </si>
  <si>
    <t>459-5200</t>
  </si>
  <si>
    <t>CENTRAL INTERNAL AUDIT OFFICE</t>
  </si>
  <si>
    <t>022000700100</t>
  </si>
  <si>
    <t>459-3600</t>
  </si>
  <si>
    <t xml:space="preserve">OFFICE OF THE ACCOUNTANT GENERAL </t>
  </si>
  <si>
    <t>022000700200</t>
  </si>
  <si>
    <t>459-3602</t>
  </si>
  <si>
    <t>MAIN ACCOUNTS DEPARTMENT (AG)</t>
  </si>
  <si>
    <t>022000700300</t>
  </si>
  <si>
    <t>459-3601</t>
  </si>
  <si>
    <t>CENTRAL PAY OFFICE</t>
  </si>
  <si>
    <t>022000700400</t>
  </si>
  <si>
    <t>459-3603</t>
  </si>
  <si>
    <t>PROJECT FINANCE MANAGEMENT UNIT (PFMU)</t>
  </si>
  <si>
    <t>022000700500</t>
  </si>
  <si>
    <t>459-3604</t>
  </si>
  <si>
    <t>IPSAS STEERING COMMITTEE</t>
  </si>
  <si>
    <t>022000700600</t>
  </si>
  <si>
    <t>459-3606</t>
  </si>
  <si>
    <t>SIFMIS (STATE INTEGRATED FINANCIAL MANAGEMENT INFORMATION SYSTEM)</t>
  </si>
  <si>
    <t>INTERNAL REVEUNE SERVICE</t>
  </si>
  <si>
    <t>022200100200</t>
  </si>
  <si>
    <t>459-3101</t>
  </si>
  <si>
    <t>MULTI LATERAL DEPARTMENT</t>
  </si>
  <si>
    <t>022200100300</t>
  </si>
  <si>
    <t>453-0401</t>
  </si>
  <si>
    <t>STATE REVENUE AND INVESTMENT COMMITTEE</t>
  </si>
  <si>
    <t>022200100500</t>
  </si>
  <si>
    <t>453-0700</t>
  </si>
  <si>
    <t>EKITI STATE ENTERPRISES DEVELOPMENT AGENCY</t>
  </si>
  <si>
    <t>022200900100</t>
  </si>
  <si>
    <t>459-4200</t>
  </si>
  <si>
    <t>PETROLEUM PRODUCTS CONSUMER PROTECTION UNIT</t>
  </si>
  <si>
    <t>022700100200</t>
  </si>
  <si>
    <t>454-0100</t>
  </si>
  <si>
    <t xml:space="preserve">BUREAU OF PRODUCTIVITY AND EMPOWERMENT </t>
  </si>
  <si>
    <t>022700600100</t>
  </si>
  <si>
    <t>459-3500</t>
  </si>
  <si>
    <t>STATE GOVERNANCE AND CAPACITY BUILDING</t>
  </si>
  <si>
    <t>022800700100</t>
  </si>
  <si>
    <t>459-1503</t>
  </si>
  <si>
    <t xml:space="preserve">BUREAU OF INFORMATION, COMMUNICATION AND TECHNOLOGY  (ICT) </t>
  </si>
  <si>
    <t>022800700200</t>
  </si>
  <si>
    <t>022905300100</t>
  </si>
  <si>
    <t>454-1200</t>
  </si>
  <si>
    <t>DEPARTMENT OF PUBLIC TRANSPORTATION</t>
  </si>
  <si>
    <t>022905500100</t>
  </si>
  <si>
    <t>454-1100</t>
  </si>
  <si>
    <t>EKITI STATE TRAFFIC MANAGEMENT AGENCY</t>
  </si>
  <si>
    <t>452-0300</t>
  </si>
  <si>
    <t>452-0102</t>
  </si>
  <si>
    <t>023600100100</t>
  </si>
  <si>
    <t>453-0300</t>
  </si>
  <si>
    <t>023600400100</t>
  </si>
  <si>
    <t>453-0200</t>
  </si>
  <si>
    <t xml:space="preserve">COUNCIL FOR ART AND CULTURE </t>
  </si>
  <si>
    <t>023800100200</t>
  </si>
  <si>
    <t>459-3105</t>
  </si>
  <si>
    <t>BUDGET MONITORING COMMITTEE</t>
  </si>
  <si>
    <t>023800100300</t>
  </si>
  <si>
    <t>459-3112</t>
  </si>
  <si>
    <t>BUDGET TRACKING AND AUTOMATION</t>
  </si>
  <si>
    <t>023800100500</t>
  </si>
  <si>
    <t>459-3103</t>
  </si>
  <si>
    <t>DEVELOPMENT PLANNING AND STRATEGY COMMITTEE (MB&amp;EP)</t>
  </si>
  <si>
    <t>023800100600</t>
  </si>
  <si>
    <t>459-3102</t>
  </si>
  <si>
    <t>ECONOMIC DEVELOPMENT COUNCIL (MB&amp;EP)</t>
  </si>
  <si>
    <t>023800400200</t>
  </si>
  <si>
    <t>459-3400</t>
  </si>
  <si>
    <t>MILLENIUM DEVELOPMENT GOALS (MDG) OFFICE</t>
  </si>
  <si>
    <t>023800400300</t>
  </si>
  <si>
    <t>459-3401</t>
  </si>
  <si>
    <t>CGS TO LGAS TRACK (MDG)</t>
  </si>
  <si>
    <t>023800400400</t>
  </si>
  <si>
    <t>459-3402</t>
  </si>
  <si>
    <t>DEVELOPMENT RELATIONS (MDGS)</t>
  </si>
  <si>
    <t>025000100100</t>
  </si>
  <si>
    <t>459-4000</t>
  </si>
  <si>
    <t>FISCAL RESPONSIBILITY COMMISSION</t>
  </si>
  <si>
    <t>025000100200</t>
  </si>
  <si>
    <t>453-0402</t>
  </si>
  <si>
    <t>FISCAL COMMITTEE SECRETARIAT</t>
  </si>
  <si>
    <t>URBAN RENEWAL AGENCY (CAPITAL URBAN DEVELOPMENT AUTHORITY)</t>
  </si>
  <si>
    <t>454-0601</t>
  </si>
  <si>
    <t>MONITORING OF GOVT. HOUSE PREMISES/TOWN ELECT.</t>
  </si>
  <si>
    <t>026100100200</t>
  </si>
  <si>
    <t>459-4300</t>
  </si>
  <si>
    <t>UTILITY SERVICE DEPARTMENT</t>
  </si>
  <si>
    <t>TOTAL ECONOMIC SECTOR</t>
  </si>
  <si>
    <t>051300100100</t>
  </si>
  <si>
    <t>457-0400</t>
  </si>
  <si>
    <t>051305100100</t>
  </si>
  <si>
    <t>YOUTH DEVELOPMENT</t>
  </si>
  <si>
    <t>051305200100</t>
  </si>
  <si>
    <t>459-3110</t>
  </si>
  <si>
    <t>YOUTH EMPLOYMENT AND SOCIAL SUPPORT OPERATION (YESSO)</t>
  </si>
  <si>
    <t xml:space="preserve"> MINISTRY OF EDUCATION, SCIENCE AND TECHNOLOGY</t>
  </si>
  <si>
    <t>051700900100</t>
  </si>
  <si>
    <t>455-0106</t>
  </si>
  <si>
    <t>MONITORING OF PUBLIC SCHOOLS</t>
  </si>
  <si>
    <t>052100100200</t>
  </si>
  <si>
    <t>456-0700</t>
  </si>
  <si>
    <t>EKITI STATE AIDS CONTROL AGENCY</t>
  </si>
  <si>
    <t>053505500100</t>
  </si>
  <si>
    <t>458-0701</t>
  </si>
  <si>
    <t>MONTHLY SANITATION EXERCISE</t>
  </si>
  <si>
    <t>459-1301</t>
  </si>
  <si>
    <t>COMMUNITY DEVELOMENT</t>
  </si>
  <si>
    <t>0505100200100</t>
  </si>
  <si>
    <t>459-1400</t>
  </si>
  <si>
    <t>CHIEFTANCY AFFAIRS</t>
  </si>
  <si>
    <t>457-0607</t>
  </si>
  <si>
    <t>GOVT. PUPILS IN CHILDREN HOME NUR/PRY SCHOOL</t>
  </si>
  <si>
    <t>455-0701</t>
  </si>
  <si>
    <t>TEACHING SERVICE COMMISSION LOANS BOARD</t>
  </si>
  <si>
    <t>SUBEB STAFF HOUSING LOANS BOARD</t>
  </si>
  <si>
    <t>0505100300100</t>
  </si>
  <si>
    <t>459-1401</t>
  </si>
  <si>
    <t>EKITI STATE COUNCIL OF OBAS</t>
  </si>
  <si>
    <t>045102100200</t>
  </si>
  <si>
    <t>459-4400</t>
  </si>
  <si>
    <t>SERVE-EKS</t>
  </si>
  <si>
    <t>045102100300</t>
  </si>
  <si>
    <t>459-4401</t>
  </si>
  <si>
    <t>SERVE-EKS STEERING COMMITTEE</t>
  </si>
  <si>
    <t>032600700200</t>
  </si>
  <si>
    <t>NEWLY CREATED MDAs</t>
  </si>
  <si>
    <t>459-5700</t>
  </si>
  <si>
    <t>OFFICE OF PUBLIC DEFENDER</t>
  </si>
  <si>
    <t>SUMMARY</t>
  </si>
  <si>
    <t xml:space="preserve">OFFICE OF ESTABLISHMENT AND TRANNING </t>
  </si>
  <si>
    <t xml:space="preserve">HOUSE OF ASSEMBLY SERVICE COMMISION </t>
  </si>
  <si>
    <t>MINISTRY OF INFORMATION, SOCIAL DEVELOPMENT, SPORTS AND CULTURE</t>
  </si>
  <si>
    <t xml:space="preserve">GENERAL ADMINISTRATION DEPARTMENT </t>
  </si>
  <si>
    <t xml:space="preserve">POLITICAL AND ECONOMIC AFFAIRS DEPARTMENT </t>
  </si>
  <si>
    <t>EKITI STATE EMERGENCY MANAGEMENT AGENCY(SEMA)</t>
  </si>
  <si>
    <t>STATE AUDITOR-GENERAL'S OFFICE</t>
  </si>
  <si>
    <t>STATE AUDITOR-GENERAL FOR LOCAL GOVERNMENT</t>
  </si>
  <si>
    <t>CHRISTIAN PILGRIMS BOARD</t>
  </si>
  <si>
    <t>MUSLIM PILGRIMS BOARD</t>
  </si>
  <si>
    <t>BUREAU OF TOURISM, ARTS AND CULTURE</t>
  </si>
  <si>
    <t xml:space="preserve">MINISTRY OF FINANCE </t>
  </si>
  <si>
    <t xml:space="preserve">JOB CREATION AND EMPLOYMENT AGENCY </t>
  </si>
  <si>
    <t>459-1504</t>
  </si>
  <si>
    <t>BUREAU OF COMMUNICATION TECHNOLOGY AND SOCIAL MEDIA</t>
  </si>
  <si>
    <t xml:space="preserve">MINISTRY OF BUDGET, ECONOMIC PLANNING AND SERVICE DELIVERY </t>
  </si>
  <si>
    <t xml:space="preserve">EKITI STATE WATER CORPORATION </t>
  </si>
  <si>
    <t>458-0101</t>
  </si>
  <si>
    <t>MINISTRY OF LANDS,HOUSING AND URBAN DEVT.</t>
  </si>
  <si>
    <t>MINISTRY OF EDUCATION, SCIENCE AND TECHNOLOGY</t>
  </si>
  <si>
    <t xml:space="preserve">BOARD OF TECHNICAL AND VOCATIONAL EDUCATION </t>
  </si>
  <si>
    <t>MINISTRY OF HEALTH</t>
  </si>
  <si>
    <t xml:space="preserve">EKITI STATE SCHOLARSHIP BOARD </t>
  </si>
  <si>
    <t>MINISTRY OF ENVIRONMENT</t>
  </si>
  <si>
    <t xml:space="preserve">EKITI STATE WASTE MANAGEMENT BOARD </t>
  </si>
  <si>
    <t>MINISTRY OF WOMEN AFFAIRS, GENDER EMPOWERMENT &amp; SOCIAL WELFARE</t>
  </si>
  <si>
    <t>SPORTS COUNCIL</t>
  </si>
  <si>
    <t>SUBEB</t>
  </si>
  <si>
    <t>MINISTRY OF JUSTICE</t>
  </si>
  <si>
    <t>012400400100</t>
  </si>
  <si>
    <t>457-0415</t>
  </si>
  <si>
    <t>NIGERIA SECURITY AND CIVIL DEFENCE CORPS</t>
  </si>
  <si>
    <t>012400400200</t>
  </si>
  <si>
    <t>459-2303</t>
  </si>
  <si>
    <t>NIGERIAN LEGION</t>
  </si>
  <si>
    <t>031800100100</t>
  </si>
  <si>
    <t>459-0200</t>
  </si>
  <si>
    <t>THE JUDICIARY</t>
  </si>
  <si>
    <t>031801100100</t>
  </si>
  <si>
    <t>459-0300</t>
  </si>
  <si>
    <t>JUDICIAL SERVICE COMMISSION</t>
  </si>
  <si>
    <t>051701800100</t>
  </si>
  <si>
    <t>455-1200</t>
  </si>
  <si>
    <t>COLLEGE OF EDUCATION - IKERE EKITI</t>
  </si>
  <si>
    <t>051702100100</t>
  </si>
  <si>
    <t>455-1000</t>
  </si>
  <si>
    <t>EKITI STATE UNIVERSITY</t>
  </si>
  <si>
    <t>052102600100</t>
  </si>
  <si>
    <t>456-0300</t>
  </si>
  <si>
    <t>EKITI STATE UNIVERSITY TEACHING HOSPITAL</t>
  </si>
  <si>
    <t>052110600100</t>
  </si>
  <si>
    <t>456-0200</t>
  </si>
  <si>
    <t>COLLEGE OF HEALTH TECHNOLOGY</t>
  </si>
  <si>
    <t>457-0405</t>
  </si>
  <si>
    <t>EKITI UNITED FOOTBALL CLUB</t>
  </si>
  <si>
    <t>TETIARY INSTITUTIONS/PARASTALTALS</t>
  </si>
  <si>
    <t>DETALS</t>
  </si>
  <si>
    <t>PENSION</t>
  </si>
  <si>
    <t>GRATUITY</t>
  </si>
  <si>
    <t>5% CONTRIBUTION TO REDEEMABLE RETIREMENT FUND ACCOUNT</t>
  </si>
  <si>
    <t>PUBLIC DEBT CHARGES</t>
  </si>
  <si>
    <t xml:space="preserve">ACTUAL          </t>
  </si>
  <si>
    <t xml:space="preserve">BUDGET        </t>
  </si>
  <si>
    <t>DETAILS</t>
  </si>
  <si>
    <t>SEPIP</t>
  </si>
  <si>
    <t>HEADS</t>
  </si>
  <si>
    <t>BUDGET SUPPORT FUND</t>
  </si>
  <si>
    <t>G</t>
  </si>
  <si>
    <t>$</t>
  </si>
  <si>
    <t>OPENING BALANCE</t>
  </si>
  <si>
    <t>ADDITIONAL LOAN</t>
  </si>
  <si>
    <t>TOTAL LOAN</t>
  </si>
  <si>
    <t>PRICIPAL  PAYMENT</t>
  </si>
  <si>
    <t>INTEREST PAYMENT</t>
  </si>
  <si>
    <t>TOTAL  PAYMENT</t>
  </si>
  <si>
    <t>CLOSING BALANCE</t>
  </si>
  <si>
    <t>FGN BONDS</t>
  </si>
  <si>
    <t>BAIL OUT</t>
  </si>
  <si>
    <t>BOND PROCEEDS</t>
  </si>
  <si>
    <t>SKYE (SCOA)</t>
  </si>
  <si>
    <t>UBEC 2012/2015</t>
  </si>
  <si>
    <t>E=C+D</t>
  </si>
  <si>
    <t>H=F+G</t>
  </si>
  <si>
    <t>I=E-F</t>
  </si>
  <si>
    <t>TOTAL       LOAN</t>
  </si>
  <si>
    <t>INFRASTRUCTURE</t>
  </si>
  <si>
    <t>TRANSPORTATION EQUIPMENT</t>
  </si>
  <si>
    <t>OFFICE EQUIPMENT</t>
  </si>
  <si>
    <t>ADDITION</t>
  </si>
  <si>
    <t>DISPOSAL</t>
  </si>
  <si>
    <t>TRANSFER/ ADJUSTMENT</t>
  </si>
  <si>
    <t>CHARGE FOR THE YEAR</t>
  </si>
  <si>
    <t>GOODWILL</t>
  </si>
  <si>
    <t>PATENT RIGHT</t>
  </si>
  <si>
    <t>COPYRIGHT</t>
  </si>
  <si>
    <t>TRADEMARK</t>
  </si>
  <si>
    <t>SERVICES</t>
  </si>
  <si>
    <t>DEPRECIATION     RATE</t>
  </si>
  <si>
    <t>BANK</t>
  </si>
  <si>
    <t>FCMB</t>
  </si>
  <si>
    <t>SURE-P</t>
  </si>
  <si>
    <t>Agric Credit Scheme</t>
  </si>
  <si>
    <t>GTB</t>
  </si>
  <si>
    <t>HERITAGE</t>
  </si>
  <si>
    <t>STANBIC</t>
  </si>
  <si>
    <t>CRF</t>
  </si>
  <si>
    <t>UNION</t>
  </si>
  <si>
    <t>UNITY</t>
  </si>
  <si>
    <t>WEMA</t>
  </si>
  <si>
    <t>FIRST TRANCHE</t>
  </si>
  <si>
    <t>SECOND TRANCHE</t>
  </si>
  <si>
    <t>Receipts from State Government</t>
  </si>
  <si>
    <t xml:space="preserve">Principal Repayment </t>
  </si>
  <si>
    <t>Payment to Bond Holders</t>
  </si>
  <si>
    <t>Coupon Payment</t>
  </si>
  <si>
    <t>Consultants Fee</t>
  </si>
  <si>
    <t>Registrars Fees</t>
  </si>
  <si>
    <t>Management Fees</t>
  </si>
  <si>
    <t xml:space="preserve">Trusteeship Fees </t>
  </si>
  <si>
    <t>Reimbursable Fees</t>
  </si>
  <si>
    <t xml:space="preserve">Bank Charges and Courier </t>
  </si>
  <si>
    <t>TOTAL INFLOW</t>
  </si>
  <si>
    <t>INFLOWS:</t>
  </si>
  <si>
    <t>OUTFLOWS:</t>
  </si>
  <si>
    <t>TOTAL OUTFLOW</t>
  </si>
  <si>
    <t>BALANCE</t>
  </si>
  <si>
    <t xml:space="preserve">DETAILS </t>
  </si>
  <si>
    <t>TAX REVENUE</t>
  </si>
  <si>
    <t>Taxes:</t>
  </si>
  <si>
    <t>Pay AsYou Earn</t>
  </si>
  <si>
    <t>Direct Assessment</t>
  </si>
  <si>
    <t>Development Levy</t>
  </si>
  <si>
    <t>Ekiti Comm Dev. Levy (TREASURY)</t>
  </si>
  <si>
    <t>Capital Gains Tax</t>
  </si>
  <si>
    <t>Withholding Tax</t>
  </si>
  <si>
    <t>NON TAX REVENUE</t>
  </si>
  <si>
    <t>Fees and Fines</t>
  </si>
  <si>
    <t>Licences</t>
  </si>
  <si>
    <t>Earnings and Sales</t>
  </si>
  <si>
    <t>Rent on Govt. Properties</t>
  </si>
  <si>
    <t>Government Investment (Dividend)</t>
  </si>
  <si>
    <t>Reimbursement</t>
  </si>
  <si>
    <t>Sales of unserviceable assets</t>
  </si>
  <si>
    <t xml:space="preserve">TOTAL </t>
  </si>
  <si>
    <t>ECONOMIC CODE</t>
  </si>
  <si>
    <t>Tax Audit</t>
  </si>
  <si>
    <t>NOTE</t>
  </si>
  <si>
    <t>011103400100</t>
  </si>
  <si>
    <t>459-5500</t>
  </si>
  <si>
    <t>BUREAU OF PUBLIC SERVICE REFORMS</t>
  </si>
  <si>
    <t>TOTAL ADMINISTRATION SECTOR</t>
  </si>
  <si>
    <t>ECONOMIC  SECTOR</t>
  </si>
  <si>
    <t>454-0700</t>
  </si>
  <si>
    <t>TOTAL ECONOMIC  SECTOR</t>
  </si>
  <si>
    <t>032605200100</t>
  </si>
  <si>
    <t>459-0301</t>
  </si>
  <si>
    <t>CUSTOMARY COURT OF APPEAL</t>
  </si>
  <si>
    <t>045102100400</t>
  </si>
  <si>
    <t>454-0400</t>
  </si>
  <si>
    <t>EKITI STATE COMMUNITY DEVELOPMENT AGENCY (DRAW DOWN)</t>
  </si>
  <si>
    <t xml:space="preserve"> TOTAL REGIONAL SECTOR</t>
  </si>
  <si>
    <t>SOCIAL SERVICE SECTOR</t>
  </si>
  <si>
    <t>YOUTH EMPLOYMENT AND SOCIAL SUPPORT OPERATION (YESSO) DRAW DOWN</t>
  </si>
  <si>
    <t>051305500100</t>
  </si>
  <si>
    <t>459-0402</t>
  </si>
  <si>
    <t>EKITI DIASPORA OFFICE</t>
  </si>
  <si>
    <t>FOREIGN LOAN DRAW DOWN(SEPIP)</t>
  </si>
  <si>
    <t>TOTAL SOCIAL SERVICE SECTOR</t>
  </si>
  <si>
    <t xml:space="preserve">MINISTRY OF INFORMATION, YOUTH AND SPORTS DEVELOPMENT </t>
  </si>
  <si>
    <t>OFFICE OF SECRETARY TO THE STATE GOVERNMENT  (SSG)</t>
  </si>
  <si>
    <t>OFFICE OF AUDITOR-GENERAL FOR LOCAL GOVERNMENT</t>
  </si>
  <si>
    <t>SUSTAINABLE DEVELOPMENT GOALS (SDG) OFFICE</t>
  </si>
  <si>
    <t xml:space="preserve">FINAL BUDGET   </t>
  </si>
  <si>
    <t>Government Share of VAT</t>
  </si>
  <si>
    <t>TOTAL TAX REVENUE</t>
  </si>
  <si>
    <t>Miscellaneous</t>
  </si>
  <si>
    <t>TOTAL NON-TAX REVENUE</t>
  </si>
  <si>
    <t>NOTE 1:    STATUTORY ALLOCATION (FAAC)</t>
  </si>
  <si>
    <t>INVESTMENT INCOME</t>
  </si>
  <si>
    <t>INTEREST EARNED</t>
  </si>
  <si>
    <t>SOCIAL CONTRIBUTION BY JAAC</t>
  </si>
  <si>
    <t>BAIL OUT REPAYMENT BY JAAC</t>
  </si>
  <si>
    <t>SALARY REFUND</t>
  </si>
  <si>
    <t>OTHER REVENUE:</t>
  </si>
  <si>
    <t>MDAs/DONORS</t>
  </si>
  <si>
    <t>PRIMARY HEALTH CARE DEVELOPMENT AGENCY (UNICEF)</t>
  </si>
  <si>
    <t xml:space="preserve"> TOTAL (A)</t>
  </si>
  <si>
    <t>TOTAL (B)</t>
  </si>
  <si>
    <t>GRAND TOTAL (A+B)</t>
  </si>
  <si>
    <t>ACTUAL</t>
  </si>
  <si>
    <t>Social Benefits</t>
  </si>
  <si>
    <t>LAND AND BUILDING</t>
  </si>
  <si>
    <t>PLANT AND MACHINERY</t>
  </si>
  <si>
    <t>TRADE MARK</t>
  </si>
  <si>
    <t>FRANCHISE</t>
  </si>
  <si>
    <t>TOURISM DEVELOPMENT AGENCY</t>
  </si>
  <si>
    <t>EXECUTING MDAs</t>
  </si>
  <si>
    <t>AMOUNT</t>
  </si>
  <si>
    <t>GOVERNMENT HOUSE AND PROTOCOL</t>
  </si>
  <si>
    <t>MINISTRY OF EDUCATION</t>
  </si>
  <si>
    <t>MDAs</t>
  </si>
  <si>
    <t>011110100100</t>
  </si>
  <si>
    <t>BUREAU OF SPECIAL PROJECTS</t>
  </si>
  <si>
    <t>031801100200</t>
  </si>
  <si>
    <t>PLANNING PERMIT AGENCY</t>
  </si>
  <si>
    <t>026000100200</t>
  </si>
  <si>
    <t>LAND SERVICES</t>
  </si>
  <si>
    <t>TOTAL FINE AND FEES</t>
  </si>
  <si>
    <t>TOTAL LICENCE</t>
  </si>
  <si>
    <t>403 LICENCE</t>
  </si>
  <si>
    <t>404 EARNING AND SALES</t>
  </si>
  <si>
    <t>021510200300</t>
  </si>
  <si>
    <t xml:space="preserve">SERICULTURE DEVELOPMENT PROJECT </t>
  </si>
  <si>
    <t>TOTAL EARNING AND SALES</t>
  </si>
  <si>
    <t>EKITI STATE ROAD MAINTENANCE AGENCY (EKROMA)(PUBLIC WORKS CORPORATION)</t>
  </si>
  <si>
    <t>TOTAL RENT OF GOVERNMENT PROPERTY</t>
  </si>
  <si>
    <t>TOTAL PARASTATALS</t>
  </si>
  <si>
    <t xml:space="preserve">TOTAL NON TAX REVENUE  </t>
  </si>
  <si>
    <t>FUNCTIONAL CODE</t>
  </si>
  <si>
    <t>402 FINE AND FEES</t>
  </si>
  <si>
    <t>405  RENT OF GOVERNMENT PROPERTY</t>
  </si>
  <si>
    <t>406  INTEREST AND DIVIDEND</t>
  </si>
  <si>
    <t>TOTAL  INTEREST AND DIVIDEND</t>
  </si>
  <si>
    <t>408  MISCELLANEOUS</t>
  </si>
  <si>
    <t>TOTAL  MISCELLANEOUS</t>
  </si>
  <si>
    <t>409   PARASTATALS</t>
  </si>
  <si>
    <t xml:space="preserve">Parastatals </t>
  </si>
  <si>
    <t>10% IGR CONTRIBUTION TO LOCAL GOVT.</t>
  </si>
  <si>
    <t>ACCOUNT NAME</t>
  </si>
  <si>
    <t>ACCESS</t>
  </si>
  <si>
    <t>LEGAL FEES</t>
  </si>
  <si>
    <t>TRAFFIC CONTROL</t>
  </si>
  <si>
    <t>DIAMOND</t>
  </si>
  <si>
    <t>ECO</t>
  </si>
  <si>
    <t>SPECIAL PROJECT</t>
  </si>
  <si>
    <t>FIDELITY</t>
  </si>
  <si>
    <t>FIRST BANK</t>
  </si>
  <si>
    <t>OTHER CHARGES</t>
  </si>
  <si>
    <t>LAPTOP REPAYMENT</t>
  </si>
  <si>
    <t>E-PAYROLL</t>
  </si>
  <si>
    <t>CAPITAL</t>
  </si>
  <si>
    <t>FORESTRY REGENERATION</t>
  </si>
  <si>
    <t>RENT</t>
  </si>
  <si>
    <t>FERTILIZER</t>
  </si>
  <si>
    <t>DIVIDEND</t>
  </si>
  <si>
    <t>INTEREST</t>
  </si>
  <si>
    <t>CAPITAL DEV. FUND</t>
  </si>
  <si>
    <t>CONSOL. DEBT SERVICE</t>
  </si>
  <si>
    <t>70112</t>
  </si>
  <si>
    <t>BEAREAU OF PRODUCTIVITY AND EMPOWERMENT</t>
  </si>
  <si>
    <t>STATE EDUCATION PROGRAME INVESTMENT PROJECT (SEPIP)</t>
  </si>
  <si>
    <t>Aids &amp; Grants</t>
  </si>
  <si>
    <t>Project Finance by Aids &amp; Grants</t>
  </si>
  <si>
    <t>Transfer from other Government Entities</t>
  </si>
  <si>
    <t>TOTAL INFLOW FROM OPERATING ACTIVITIES (A)</t>
  </si>
  <si>
    <t>TOTAL OUTFLOW FROM OPERATING ACTIVITIES (B)</t>
  </si>
  <si>
    <t>NET CASH FLOW FROM OPERATING ACTIVITIES (C=A-B)</t>
  </si>
  <si>
    <t>Total Non-Operating Revenue/(Expenses)   (D)</t>
  </si>
  <si>
    <t>NET SURPLUS/(DEFICIT) FOR THE PERIOD (C-D)</t>
  </si>
  <si>
    <t>Transfer to Other Governmnet Entities</t>
  </si>
  <si>
    <t>3RD NATIONAL URBAN WATER SECTOR REFORM PROJECT (NUWSRP-3)</t>
  </si>
  <si>
    <t>EU ASSISTED WATER SUPPLY/SANITATION SECTOR REFORM PROGRAMM III</t>
  </si>
  <si>
    <t>SDG (DRAW DOWN)</t>
  </si>
  <si>
    <t>FEDERAL MINISTRY OF WATER RESOURCES ASSISTED PROGRAMM</t>
  </si>
  <si>
    <t>PROJECT</t>
  </si>
  <si>
    <t>FINANCCE INSTITUTION</t>
  </si>
  <si>
    <t>WORLD BANK</t>
  </si>
  <si>
    <t>FEDERAL GOVERNMENT</t>
  </si>
  <si>
    <t>Foreign Loans Repayments</t>
  </si>
  <si>
    <t>Domestic Loans Repayment</t>
  </si>
  <si>
    <t>ACCESS (ECA)</t>
  </si>
  <si>
    <t>NUWSRP- 3</t>
  </si>
  <si>
    <t>PRINCIPAL  PAYMENT</t>
  </si>
  <si>
    <t>OPENING BALANCE      (A)</t>
  </si>
  <si>
    <t>TOTAL FUND AVAILABLE       C=(A+B)</t>
  </si>
  <si>
    <t>TOTAL RECEIPTS     (B)</t>
  </si>
  <si>
    <t>Purchase/Construction of Assets</t>
  </si>
  <si>
    <t>Foreign Loan Repayments</t>
  </si>
  <si>
    <t>Domestic Loan Repayments</t>
  </si>
  <si>
    <t xml:space="preserve">MINISTRY OFINFORMATION, YOUTH AND SPORTS DEVELOPMENT </t>
  </si>
  <si>
    <t>Prepayments/Arrears of Revenue</t>
  </si>
  <si>
    <t>ENGINEERING STORES</t>
  </si>
  <si>
    <t>MEDICAL STORES</t>
  </si>
  <si>
    <t>INDUSTRIAL/CHEMICAL STORE</t>
  </si>
  <si>
    <t>FUEL AND LUBRICANTS</t>
  </si>
  <si>
    <t>AGRICULTURAL INPUTS</t>
  </si>
  <si>
    <t>SCHOLASTIC MATERIALS</t>
  </si>
  <si>
    <t>STATIONERY STORES</t>
  </si>
  <si>
    <t>BUILDING MATERIALS</t>
  </si>
  <si>
    <t>ADVANCES</t>
  </si>
  <si>
    <t>PREPAYMENTS</t>
  </si>
  <si>
    <t>ARREARS OF REVENUE</t>
  </si>
  <si>
    <t>CIVIL SERVANTS</t>
  </si>
  <si>
    <t>Vehicle Loan</t>
  </si>
  <si>
    <t>Housing Loan</t>
  </si>
  <si>
    <t>SECONDARY SCHOOLS TEACHERS</t>
  </si>
  <si>
    <t>LOAN TO OTHER TIERS OF GOVERNMENT</t>
  </si>
  <si>
    <t>Local Government (Bail-Out)</t>
  </si>
  <si>
    <t>Shares divested to Civil Servants etc</t>
  </si>
  <si>
    <t>Add: Unalloted Shares</t>
  </si>
  <si>
    <t>Amount released by State Government</t>
  </si>
  <si>
    <t>Less:</t>
  </si>
  <si>
    <t>LAND &amp; BUILDING</t>
  </si>
  <si>
    <t>PLANT &amp; MACHINERY</t>
  </si>
  <si>
    <t>FURNITURES &amp; FITTINGS</t>
  </si>
  <si>
    <t>BALANCE B/FORWARD</t>
  </si>
  <si>
    <t>DISPOSAL DURING THE YEAR</t>
  </si>
  <si>
    <t>ADDITION DURING THE YEAR</t>
  </si>
  <si>
    <t>BALANCE C/FORWARD</t>
  </si>
  <si>
    <t>FIXED ASSETS - PPE</t>
  </si>
  <si>
    <t>ACCUMULATED DEPRECIATION:</t>
  </si>
  <si>
    <t>NET BOOK VALUE:</t>
  </si>
  <si>
    <t>DEPRECIATION RATE</t>
  </si>
  <si>
    <t>DEPRECIATION:</t>
  </si>
  <si>
    <t xml:space="preserve">Payables </t>
  </si>
  <si>
    <t xml:space="preserve">Accrued Expenses </t>
  </si>
  <si>
    <t>Deposits</t>
  </si>
  <si>
    <t>Current Liabilities:</t>
  </si>
  <si>
    <t>Unremitted Deductions from Salary</t>
  </si>
  <si>
    <t>Pension</t>
  </si>
  <si>
    <t>Gratuities</t>
  </si>
  <si>
    <t>10% Contribution to CPS</t>
  </si>
  <si>
    <t>Overhead</t>
  </si>
  <si>
    <t>Grants/Subventions</t>
  </si>
  <si>
    <t>E</t>
  </si>
  <si>
    <t>H</t>
  </si>
  <si>
    <t>NOTE 30A:  FACILITY REPAYMENT (FOREIGN LOAN DRAWN DOWN)</t>
  </si>
  <si>
    <t>Long Term Borrowings:  Foreign Loan</t>
  </si>
  <si>
    <t>Long Term Borrowings:  Domestic  Loan</t>
  </si>
  <si>
    <t>Reserves</t>
  </si>
  <si>
    <t>Minority Interest</t>
  </si>
  <si>
    <t>TOTAL NET ASSETS/EQUITY</t>
  </si>
  <si>
    <t>MULTI STATE AGRIC DEV. PROJ. (46%)</t>
  </si>
  <si>
    <t>UNIVERSAL BASIC EDUCATION</t>
  </si>
  <si>
    <t>HEALTH SYSTEM DEV. PROJ. (II)</t>
  </si>
  <si>
    <t xml:space="preserve"> HIV/AIDS PROGRAMME</t>
  </si>
  <si>
    <t>COMM BASED POVERTY REDUCTION</t>
  </si>
  <si>
    <t>HEALTH SYSTEM DEV. PROJ. (ADD. FINANCE)</t>
  </si>
  <si>
    <t>3RD NATIONAL FADAMA DEV. PROJECT</t>
  </si>
  <si>
    <t>2ND HIV/AIDS PROGRAMME</t>
  </si>
  <si>
    <t>STATE EDUCATION PROGRAM INV. PROJ.</t>
  </si>
  <si>
    <t>3RD NATIONAL URBAN WATER SECTOR REFORM</t>
  </si>
  <si>
    <t>NATIONAL PROGRAMME FOR FOOD SECURITY</t>
  </si>
  <si>
    <t>Surplus/(Deficit) from Operating Activities                C=(A-B)</t>
  </si>
  <si>
    <t>3RD NATIONAL URBAN WATER SECTOR REFORM PROJECT          (3RD NUWRP)</t>
  </si>
  <si>
    <t>REVALUATION RESERVE</t>
  </si>
  <si>
    <t>TRANSLATION RESREVE</t>
  </si>
  <si>
    <t>ACCUMULATED SURPLUSES/DEFICITS</t>
  </si>
  <si>
    <t>Change in Accounting Policies</t>
  </si>
  <si>
    <t>Restated Balance</t>
  </si>
  <si>
    <t>Balance as at 31st December 2017</t>
  </si>
  <si>
    <t>Deficit on Revaluation of Property</t>
  </si>
  <si>
    <t>Surplus on Revaluation of Investments</t>
  </si>
  <si>
    <t>ACTUAL AMOUNT</t>
  </si>
  <si>
    <t>PERCENTAGE CHANGE (%)</t>
  </si>
  <si>
    <t>RECURRENT REVENUE</t>
  </si>
  <si>
    <t>CAPITAL RECEIPTS</t>
  </si>
  <si>
    <t>TOTAL REVENUE</t>
  </si>
  <si>
    <t>EXPENDITURE</t>
  </si>
  <si>
    <t>RECURRENT EXPENDITURE</t>
  </si>
  <si>
    <t>CAPITAL EXPENDITURE</t>
  </si>
  <si>
    <t>TOTAL EXPENDITURE</t>
  </si>
  <si>
    <t>PERFORMANCE (%)</t>
  </si>
  <si>
    <t>ESTIMATE</t>
  </si>
  <si>
    <t>ACTUAL EXPEND.</t>
  </si>
  <si>
    <t xml:space="preserve">General public services </t>
  </si>
  <si>
    <t xml:space="preserve"> Executive and legislative organs, financial and fiscal affairs, external affairs.</t>
  </si>
  <si>
    <t>EXECUTIVE ORGANS</t>
  </si>
  <si>
    <t>LEGISLATIVE ORGANS</t>
  </si>
  <si>
    <t>FINANCIAL AND FISCAL AFFAIRS</t>
  </si>
  <si>
    <t xml:space="preserve"> Foreign economic aid.</t>
  </si>
  <si>
    <t xml:space="preserve"> Economic aid to developing countries and countries in transition </t>
  </si>
  <si>
    <t>ECONOMIC AID ROUTED THROUGH INTERNATIONAL ORGANIZATIONS</t>
  </si>
  <si>
    <t xml:space="preserve"> General services.</t>
  </si>
  <si>
    <t>GENERAL PERSONNEL SERVICES</t>
  </si>
  <si>
    <t>OVERALL PLANNING AND STATISTICAL SERVICES</t>
  </si>
  <si>
    <t>OTHER GENERAL SERVICES</t>
  </si>
  <si>
    <t xml:space="preserve"> Basic research.</t>
  </si>
  <si>
    <t xml:space="preserve"> R&amp;D general public services.</t>
  </si>
  <si>
    <t xml:space="preserve"> General public services n.e.c.</t>
  </si>
  <si>
    <t>GENERAL PUBLIC SERVICES N.E.C.</t>
  </si>
  <si>
    <t xml:space="preserve"> Public debt transactions.</t>
  </si>
  <si>
    <t xml:space="preserve"> Transfers of a general character between different levels of government.</t>
  </si>
  <si>
    <t>SUB TOTAL 701</t>
  </si>
  <si>
    <t xml:space="preserve">Public order and safety </t>
  </si>
  <si>
    <t xml:space="preserve"> Police services.</t>
  </si>
  <si>
    <t xml:space="preserve"> Fire-protection services.</t>
  </si>
  <si>
    <t>FIRE PROTECTION SERVICES</t>
  </si>
  <si>
    <t xml:space="preserve"> Law courts.</t>
  </si>
  <si>
    <t>LAW COURTS</t>
  </si>
  <si>
    <t xml:space="preserve"> Prisons.</t>
  </si>
  <si>
    <t xml:space="preserve"> R&amp;D public order and safety.</t>
  </si>
  <si>
    <t xml:space="preserve"> Public order and safety n.e.c.</t>
  </si>
  <si>
    <t>SUB TOTAL 703</t>
  </si>
  <si>
    <t>Economic affairs</t>
  </si>
  <si>
    <t xml:space="preserve"> General economic, commercial and labour affairs.</t>
  </si>
  <si>
    <t xml:space="preserve">GENERAL ECONOMIC AND COMMERCIALAFFAIRS </t>
  </si>
  <si>
    <t>GENERAL LABOUR AFFAIRS</t>
  </si>
  <si>
    <t xml:space="preserve"> Agriculture, forestry, fishing and hunting.</t>
  </si>
  <si>
    <t>AGRICULTURE</t>
  </si>
  <si>
    <t>FORESTRY</t>
  </si>
  <si>
    <t xml:space="preserve">Fishing and hunting </t>
  </si>
  <si>
    <t xml:space="preserve"> Fuel and energy.</t>
  </si>
  <si>
    <t xml:space="preserve">Coal and other solid mineral fuels </t>
  </si>
  <si>
    <t xml:space="preserve">Petroleum and natural gas </t>
  </si>
  <si>
    <t xml:space="preserve"> Nuclear fuel </t>
  </si>
  <si>
    <t xml:space="preserve">Other fuels </t>
  </si>
  <si>
    <t xml:space="preserve">Electricity </t>
  </si>
  <si>
    <t xml:space="preserve">Non-electric energy </t>
  </si>
  <si>
    <t xml:space="preserve"> Mining, manufacturing and construction.</t>
  </si>
  <si>
    <t xml:space="preserve">Mining of mineral resources other than mineral fuels </t>
  </si>
  <si>
    <t xml:space="preserve">Manufacturing </t>
  </si>
  <si>
    <t xml:space="preserve">Construction </t>
  </si>
  <si>
    <t xml:space="preserve"> Transport.</t>
  </si>
  <si>
    <t xml:space="preserve">Road transport </t>
  </si>
  <si>
    <t xml:space="preserve">Water transport </t>
  </si>
  <si>
    <t xml:space="preserve">Railway transport </t>
  </si>
  <si>
    <t xml:space="preserve">Air transport </t>
  </si>
  <si>
    <t xml:space="preserve"> Pipeline and other transport </t>
  </si>
  <si>
    <t xml:space="preserve"> Communication.</t>
  </si>
  <si>
    <t xml:space="preserve"> Other industries.</t>
  </si>
  <si>
    <t xml:space="preserve"> Distributive trades, storage, and warehousing </t>
  </si>
  <si>
    <t xml:space="preserve">Hotels and restaurants </t>
  </si>
  <si>
    <t xml:space="preserve">Tourism </t>
  </si>
  <si>
    <t xml:space="preserve">Multipurpose development projects </t>
  </si>
  <si>
    <t xml:space="preserve"> R&amp;D economic affairs.</t>
  </si>
  <si>
    <t xml:space="preserve">R&amp;D General economic, commercial, and labor </t>
  </si>
  <si>
    <t xml:space="preserve">R&amp;D Agriculture, forestry, fishing and hunting </t>
  </si>
  <si>
    <t xml:space="preserve">R&amp;D Fuel and energy </t>
  </si>
  <si>
    <t xml:space="preserve">R&amp;D Mining, manufacturing, and </t>
  </si>
  <si>
    <t xml:space="preserve">R&amp;D Transport </t>
  </si>
  <si>
    <t xml:space="preserve"> R&amp;D Communication </t>
  </si>
  <si>
    <t xml:space="preserve">R&amp;D Other industries </t>
  </si>
  <si>
    <t xml:space="preserve"> Economic affairs n.e.c.</t>
  </si>
  <si>
    <t xml:space="preserve">Economic affairs </t>
  </si>
  <si>
    <t>SUB TOTAL 704</t>
  </si>
  <si>
    <t xml:space="preserve">Environmental protection </t>
  </si>
  <si>
    <t xml:space="preserve"> Waste management.</t>
  </si>
  <si>
    <t xml:space="preserve"> Waste water management.</t>
  </si>
  <si>
    <t xml:space="preserve"> Pollution abatement.</t>
  </si>
  <si>
    <t xml:space="preserve">Pollution abatement </t>
  </si>
  <si>
    <t xml:space="preserve"> Protection of biodiversity and landscape.</t>
  </si>
  <si>
    <t xml:space="preserve"> R&amp;D environmental protection.</t>
  </si>
  <si>
    <t xml:space="preserve"> Environmental protection n.e.c.</t>
  </si>
  <si>
    <t>SUB TOTAL 705</t>
  </si>
  <si>
    <t>Housing and community amenities</t>
  </si>
  <si>
    <t xml:space="preserve"> Housing development.</t>
  </si>
  <si>
    <t xml:space="preserve"> Community development.</t>
  </si>
  <si>
    <t xml:space="preserve"> Water supply.</t>
  </si>
  <si>
    <t xml:space="preserve"> Street lighting.</t>
  </si>
  <si>
    <t xml:space="preserve"> R&amp;D housing and community amenities.</t>
  </si>
  <si>
    <t xml:space="preserve"> Housing and community amenities n.e.c.</t>
  </si>
  <si>
    <t>SUB TOTAL 706</t>
  </si>
  <si>
    <t xml:space="preserve">Health </t>
  </si>
  <si>
    <t xml:space="preserve"> Medical products, appliances and equipment.</t>
  </si>
  <si>
    <t xml:space="preserve">Pharmaceutical products </t>
  </si>
  <si>
    <t xml:space="preserve">Other medical products </t>
  </si>
  <si>
    <t xml:space="preserve">Therapeutic appliances and equipment </t>
  </si>
  <si>
    <t xml:space="preserve"> Outpatient services.</t>
  </si>
  <si>
    <t xml:space="preserve">General medical services </t>
  </si>
  <si>
    <t xml:space="preserve">Specialized medical services </t>
  </si>
  <si>
    <t xml:space="preserve">Dental services </t>
  </si>
  <si>
    <t xml:space="preserve">Paramedical services </t>
  </si>
  <si>
    <t xml:space="preserve"> Hospital services.</t>
  </si>
  <si>
    <t xml:space="preserve">General hospital services </t>
  </si>
  <si>
    <t xml:space="preserve">Specialized hospital services </t>
  </si>
  <si>
    <t xml:space="preserve">Medical and maternity center services </t>
  </si>
  <si>
    <t xml:space="preserve">Nursing and convalescent home </t>
  </si>
  <si>
    <t xml:space="preserve"> Public health services.</t>
  </si>
  <si>
    <t xml:space="preserve"> R&amp;D health.</t>
  </si>
  <si>
    <t xml:space="preserve"> Health n.e.c.</t>
  </si>
  <si>
    <t>SUB TOTAL 707</t>
  </si>
  <si>
    <t>Recreation, culture and religion</t>
  </si>
  <si>
    <t xml:space="preserve"> Recreational and sporting services.</t>
  </si>
  <si>
    <t xml:space="preserve"> Cultural services.</t>
  </si>
  <si>
    <t xml:space="preserve"> Broadcasting and publishing services.</t>
  </si>
  <si>
    <t xml:space="preserve"> Religious and other community services.</t>
  </si>
  <si>
    <t xml:space="preserve"> R&amp;D recreation, culture and religion.</t>
  </si>
  <si>
    <t xml:space="preserve"> Recreation, culture and religion n.e.c.</t>
  </si>
  <si>
    <t>SUB TOTAL 708</t>
  </si>
  <si>
    <t>Education</t>
  </si>
  <si>
    <t xml:space="preserve">  Pre-primary and primary education.</t>
  </si>
  <si>
    <t xml:space="preserve">Pre-primary education </t>
  </si>
  <si>
    <t xml:space="preserve">Primary education </t>
  </si>
  <si>
    <t xml:space="preserve"> Secondary education.</t>
  </si>
  <si>
    <t xml:space="preserve">Lower-secondary education </t>
  </si>
  <si>
    <t xml:space="preserve">Upper-secondary education </t>
  </si>
  <si>
    <t xml:space="preserve"> Post-secondary non-tertiary education.</t>
  </si>
  <si>
    <t xml:space="preserve"> Tertiary education.</t>
  </si>
  <si>
    <t xml:space="preserve">First stage of tertiary education </t>
  </si>
  <si>
    <t xml:space="preserve">Second stage of tertiary education </t>
  </si>
  <si>
    <t xml:space="preserve"> Education not definable by level.</t>
  </si>
  <si>
    <t xml:space="preserve"> Subsidiary services to education.</t>
  </si>
  <si>
    <t xml:space="preserve"> R&amp;D education.</t>
  </si>
  <si>
    <t xml:space="preserve"> Education n.e.c.</t>
  </si>
  <si>
    <t>SUB TOTAL 709</t>
  </si>
  <si>
    <t>Social protection</t>
  </si>
  <si>
    <t xml:space="preserve"> Sickness and disability.</t>
  </si>
  <si>
    <t xml:space="preserve"> Sickness </t>
  </si>
  <si>
    <t>Disability.</t>
  </si>
  <si>
    <t xml:space="preserve"> Old age.</t>
  </si>
  <si>
    <t xml:space="preserve"> Survivors.</t>
  </si>
  <si>
    <t xml:space="preserve"> Family and children.</t>
  </si>
  <si>
    <t xml:space="preserve"> Unemployment.</t>
  </si>
  <si>
    <t xml:space="preserve"> Housing.</t>
  </si>
  <si>
    <t xml:space="preserve"> Social exclusion n.e.c.</t>
  </si>
  <si>
    <t xml:space="preserve"> R&amp;D social protection.</t>
  </si>
  <si>
    <t xml:space="preserve"> Social protection n.e.c.</t>
  </si>
  <si>
    <t>SUB TOTAL 710</t>
  </si>
  <si>
    <t>Loan Repayment for the year</t>
  </si>
  <si>
    <t>Local Government Share of Paris Club Refund</t>
  </si>
  <si>
    <t>LESS: OUTSTANDING SALARY DEDUCTION</t>
  </si>
  <si>
    <t>LEVEL 1</t>
  </si>
  <si>
    <t>LEVEL 2</t>
  </si>
  <si>
    <t>LEVEL 3</t>
  </si>
  <si>
    <t>CODE</t>
  </si>
  <si>
    <t>DESCRIPTION</t>
  </si>
  <si>
    <t>EXTERNAL AFFAIRS</t>
  </si>
  <si>
    <t>MINISTRIES, DEPARTMENTS AND AGENCIES (MDAs)</t>
  </si>
  <si>
    <t>ACTUAL RECURRENT EXPENDITURE</t>
  </si>
  <si>
    <t>ACTUAL CAPITAL EXPENDITURE</t>
  </si>
  <si>
    <t>ACTUAL TOTAL EXPENDITURE</t>
  </si>
  <si>
    <t>FINAL APPROVED BUDGET</t>
  </si>
  <si>
    <t>459-1605</t>
  </si>
  <si>
    <t>OFFICE OF THE SPECIAL ADVISER,SENIOR SPECIAL ASSISTANTS AND SPECIAL ASSISTANTS TO THE GOVERNOR</t>
  </si>
  <si>
    <t>459-1611</t>
  </si>
  <si>
    <t>OFFICE OF THE SPECIAL ADVISER GOVERNMENT HOSUE AND PROTOCOL</t>
  </si>
  <si>
    <t>459-1004</t>
  </si>
  <si>
    <t>OFFICE OF THE SPECIAL ADVISER NATIONAL ASSEMBLY MATTERS</t>
  </si>
  <si>
    <t>459-0407</t>
  </si>
  <si>
    <t>OFFICE OF THE SPECIAL ADVISER LEGAL MATTERS</t>
  </si>
  <si>
    <t>459-1612</t>
  </si>
  <si>
    <t>OFFICE OF THE SPECIAL ADVISER SECURITY (GH&amp;P)</t>
  </si>
  <si>
    <t>459-3700</t>
  </si>
  <si>
    <t>OFFICE OF THE SPECIAL ADVISER (REVENUE AND TAXTION)</t>
  </si>
  <si>
    <t>OFFICE OF THE SPECIAL ADVISER (MEDIA/CHIEF PRESS SECRETARY)</t>
  </si>
  <si>
    <t>459-0412</t>
  </si>
  <si>
    <t>OFFICE OF THE SPECIAL ADVISER (SPECIAL DUTIES)</t>
  </si>
  <si>
    <t>OFFICE OF THE SENIOR SPECIAL ASSISTANT GOVERNOR OFFICE</t>
  </si>
  <si>
    <t>459-1603</t>
  </si>
  <si>
    <t>OFFICE OF THE SENIOR SPECIAL ASSISTANT POLICY AND STRATEGY (GH&amp;P)</t>
  </si>
  <si>
    <t>459-1602</t>
  </si>
  <si>
    <t>OFFICE OF THE SENIOR SPECIAL ASSISTANT CORPORATE SERVICES AND HUMAN RESOURCES</t>
  </si>
  <si>
    <t>459-1608</t>
  </si>
  <si>
    <t>OFFICE OF THE SENIOR SPECIAL ASSISTANT (GH&amp;P)</t>
  </si>
  <si>
    <t>459-2301</t>
  </si>
  <si>
    <t>OFFICE OF THE SENIOR SPECIAL ASSISTANT ON PROJECT MONITORING</t>
  </si>
  <si>
    <t>459-0411</t>
  </si>
  <si>
    <t>OFFICE OF THE SPECIAL ASSISTANT (COPORATE MEDIA)</t>
  </si>
  <si>
    <t>459-0401</t>
  </si>
  <si>
    <t>OFFICE OF THE SPECIAL ASSISTANT (SPECIAL PROJECTS)</t>
  </si>
  <si>
    <t>459-0403</t>
  </si>
  <si>
    <t>OFFICE OF THE SPECIAL ASSISTANT (SPEECH AND COMMUNICATION)</t>
  </si>
  <si>
    <t>459-1613</t>
  </si>
  <si>
    <t>OFFICE OF THE SPECIAL ASSISTANT (VOLUNTEER CORPS -GH&amp;P)</t>
  </si>
  <si>
    <t>459-0404</t>
  </si>
  <si>
    <t>LEGISLATIVE AFFAIRS GOVERNORS OFFICE</t>
  </si>
  <si>
    <t>BOUNDARY TECHNICAL COMMITTEE (D-GOV)</t>
  </si>
  <si>
    <t>459-2002</t>
  </si>
  <si>
    <t>SOUTH WEST GOVERNORS FORUM SECRETARIAT</t>
  </si>
  <si>
    <t>SPECIAL  ECONOMIC FUND COMMITTEE</t>
  </si>
  <si>
    <t>458-1101</t>
  </si>
  <si>
    <t>SPECIAL DUTIES INTERVENT FUND</t>
  </si>
  <si>
    <t>455-0101</t>
  </si>
  <si>
    <t>QUALITY ASSURANCE AGENCY</t>
  </si>
  <si>
    <t>459-4700</t>
  </si>
  <si>
    <t>459-1610</t>
  </si>
  <si>
    <t>OFFICE OF THE DEPUTY CHIEF OF STAFF (GH AND PROTOCOL)</t>
  </si>
  <si>
    <t>459-1501</t>
  </si>
  <si>
    <t>OFFICE OF THE DEPUTY CHIEF OF STAFF (DEPUTY GOV OFFICE)</t>
  </si>
  <si>
    <t>OFFICE OF THE SPECIAL ADVISER,SENIOR SPECIAL ASSISTANTS AND SPECIAL ASSISTANTS TO THE DEPUTY GOVERNOR</t>
  </si>
  <si>
    <t>459-1502</t>
  </si>
  <si>
    <t>SENIOR EXECUTIVE ASSISTANT ON MEDIA (DEPUTY GOV OFFICE)</t>
  </si>
  <si>
    <t>459-1604</t>
  </si>
  <si>
    <t>DEPARTMENT OF INTERNAL SECURITY (GH&amp;P)</t>
  </si>
  <si>
    <t>459-1607</t>
  </si>
  <si>
    <t>INFRASTRUCTURE UNIT (GH&amp;P)</t>
  </si>
  <si>
    <t>FOREIGN LOAN DRAW DOWN</t>
  </si>
  <si>
    <t>LEAVE &amp; XMAS BONUS ( INCLUDING OUTSTANDING DEDUCTIONS)</t>
  </si>
  <si>
    <t>SUB TOTAL 70111</t>
  </si>
  <si>
    <t>STATE ASSEMBLY</t>
  </si>
  <si>
    <t>459-2102</t>
  </si>
  <si>
    <t>REGIONAL LEGISLATIVE FORUM</t>
  </si>
  <si>
    <t>BUDGETDEPARTMENT</t>
  </si>
  <si>
    <t>REVENUE MOBILIZATION, ALLOCATION AND FISCAL COMMISSION / BOARD/ AGENCY</t>
  </si>
  <si>
    <t>SUB TOTAL 70112</t>
  </si>
  <si>
    <t>459-0408</t>
  </si>
  <si>
    <t>SENIOR SPECIAL ADVISER INTERGOVERNMENTAL RELATION (P &amp; E)</t>
  </si>
  <si>
    <t>459-2001</t>
  </si>
  <si>
    <t>ADVOCACY MEETING (INTEGRATION &amp; INTERGOVERNMENTAL RELATION) (P &amp; E)</t>
  </si>
  <si>
    <t>459-5106</t>
  </si>
  <si>
    <t>POLICY &amp; STRATEGY (P &amp; E)</t>
  </si>
  <si>
    <t>459-2101</t>
  </si>
  <si>
    <t>QUARTERLY LEGISLATIVE/EXECUTIVE PARLEY (P &amp; E)</t>
  </si>
  <si>
    <t>INTER-GOVERNMENTAL AFFAIRS</t>
  </si>
  <si>
    <t>SUB TOTAL 70122</t>
  </si>
  <si>
    <t>SUB TOTAL 70131</t>
  </si>
  <si>
    <t>459-5300</t>
  </si>
  <si>
    <t>NEPAD (NEW PARTNERSHIP FOR AFRICA DEVELOPMENT)</t>
  </si>
  <si>
    <t>SUB TOTAL 70132</t>
  </si>
  <si>
    <t>SUB TOTAL 70133</t>
  </si>
  <si>
    <t>MIN. OF SCIENCE AND TECHNOLOGY (ICT)</t>
  </si>
  <si>
    <t>SUB TOTAL 70140</t>
  </si>
  <si>
    <t>SUB TOTAL 70160</t>
  </si>
  <si>
    <t>PUBLIC ORDER AND SAFETY</t>
  </si>
  <si>
    <t>SUB TOTAL 70320</t>
  </si>
  <si>
    <t>SUB TOTAL 70330</t>
  </si>
  <si>
    <t>ECONOMIC AFFAIR</t>
  </si>
  <si>
    <t>459-5600</t>
  </si>
  <si>
    <t>SUBSIDY REIVESTMENT PROGRAMME (SURE-P)</t>
  </si>
  <si>
    <t>FOUNTAIN HOLDING INVESTMENT LIMITED</t>
  </si>
  <si>
    <t>EKSG/CBN MSMEs DEVELOPMENT FUND</t>
  </si>
  <si>
    <t>PLANNING COMMISSION</t>
  </si>
  <si>
    <t>459-3107</t>
  </si>
  <si>
    <t>CAPACITY BUILDING</t>
  </si>
  <si>
    <t>SUB TOTAL 70411</t>
  </si>
  <si>
    <t>459-0405</t>
  </si>
  <si>
    <t xml:space="preserve"> OFFICE. OF LABOUR RELATIONS</t>
  </si>
  <si>
    <t>SUB TOTAL 70412</t>
  </si>
  <si>
    <t>FERTILIZER (DEDUCTION AT SOURCE)</t>
  </si>
  <si>
    <t>SUB TOTAL 70421</t>
  </si>
  <si>
    <t>451-0102</t>
  </si>
  <si>
    <t>COLLEGE OF TECHNICAL AND COMMERCIAL AGRICULTURE</t>
  </si>
  <si>
    <t>451-0101</t>
  </si>
  <si>
    <t>SUB TOTAL 70422</t>
  </si>
  <si>
    <t xml:space="preserve">MINISTRY OF ENERGY (POWER) </t>
  </si>
  <si>
    <t>SUB TOTAL 70435</t>
  </si>
  <si>
    <t>INFRASTRUCTURE UNIT (BUREAU OF INFRRASTUCTURE)</t>
  </si>
  <si>
    <t>SUB TOTAL 70443</t>
  </si>
  <si>
    <t xml:space="preserve"> MINISTRY OF WORKS ANDTRANSPORT </t>
  </si>
  <si>
    <t>SUB TOTAL 70451</t>
  </si>
  <si>
    <t>SUB TOTAL 70452</t>
  </si>
  <si>
    <t>BUREAU OF COMMUNICATION,TECHNOLOGY AND SOCIAL MEDIA</t>
  </si>
  <si>
    <t>SUB TOTAL 70460</t>
  </si>
  <si>
    <t>ENVIRONMENTAL PROTECTION</t>
  </si>
  <si>
    <t>SUB TOTAL 70510</t>
  </si>
  <si>
    <t>SUB TOTAL 70560</t>
  </si>
  <si>
    <t>HOUSING AND COMMUNITY AMMENITIES</t>
  </si>
  <si>
    <t>MINISTRY OF LAND &amp; SURVEY</t>
  </si>
  <si>
    <t>458-0400</t>
  </si>
  <si>
    <t>SUB TOTAL 70610</t>
  </si>
  <si>
    <t>STATE CAPITAL DEVELOPMENT</t>
  </si>
  <si>
    <t>EKITI STATE COMMUNITY DEVELOPMENT AGENCY</t>
  </si>
  <si>
    <t>SUB TOTAL 70620</t>
  </si>
  <si>
    <t xml:space="preserve"> MINISTRY OF WATER RESOURCES</t>
  </si>
  <si>
    <t>SUB TOTAL 70630</t>
  </si>
  <si>
    <t>HEALTH</t>
  </si>
  <si>
    <t>SUB TOTAL 70721</t>
  </si>
  <si>
    <t>456-0601</t>
  </si>
  <si>
    <t>RUNNING GRANT TO SECONDARY HEALTH FACILITIES (HMB)</t>
  </si>
  <si>
    <t>SUB TOTAL 70731</t>
  </si>
  <si>
    <t>SUB TOTAL 70734</t>
  </si>
  <si>
    <t>RECREATION, CULTURE AND RELIGION</t>
  </si>
  <si>
    <t>457-0101</t>
  </si>
  <si>
    <t>SOCIAL AND MASS MOBILISATION</t>
  </si>
  <si>
    <t xml:space="preserve"> MINISTRY OF YOUTH DEVELOPMENT</t>
  </si>
  <si>
    <t>457-0606</t>
  </si>
  <si>
    <t>MAINTENANCE OF YOUTHS ORGANISATION AND AREA OFFICES</t>
  </si>
  <si>
    <t xml:space="preserve">MINISTRY OF SPORTS </t>
  </si>
  <si>
    <t>SUB TOTAL 70810</t>
  </si>
  <si>
    <t>MIN. OF TOURISM CULTURE AND NATIONAL ORIENTATION</t>
  </si>
  <si>
    <t>TOURISM DEPARTMENT</t>
  </si>
  <si>
    <t>451-1200</t>
  </si>
  <si>
    <t>SUB TOTAL 70820</t>
  </si>
  <si>
    <t>SUB TOTAL 70830</t>
  </si>
  <si>
    <t>SB TOTAL 70840</t>
  </si>
  <si>
    <t>EDUCATION</t>
  </si>
  <si>
    <t>SUB TOTAL 70912</t>
  </si>
  <si>
    <t>STATE SCHOOL (TSC)</t>
  </si>
  <si>
    <t>SUB TOTAL 70922</t>
  </si>
  <si>
    <t>SUB TOTAL 70941</t>
  </si>
  <si>
    <t>SUB TOTAL 70942</t>
  </si>
  <si>
    <t>455-0801</t>
  </si>
  <si>
    <t>REFERENCE LIBRARY</t>
  </si>
  <si>
    <t>MONITORING OF PUBIC SCHOOLS</t>
  </si>
  <si>
    <t>PRIMARY EDUCATION BOARD / COMMISSION</t>
  </si>
  <si>
    <t>SUB TOTAL 70960</t>
  </si>
  <si>
    <t>SUB TOTAL 70970</t>
  </si>
  <si>
    <t>70140</t>
  </si>
  <si>
    <t>70922</t>
  </si>
  <si>
    <t>SOCIAL PROTECTION</t>
  </si>
  <si>
    <t>SUB TOTAL 71090</t>
  </si>
  <si>
    <t>TOTAL LOAN REPAYMENT FOR THE YEAR</t>
  </si>
  <si>
    <t>FUNCTIONAL SEGMENT CODE</t>
  </si>
  <si>
    <t>HEAD/   SUB-HEAD</t>
  </si>
  <si>
    <t>459-070</t>
  </si>
  <si>
    <t>MANAGEMENT SREVICE DEPARTMENT (AG)</t>
  </si>
  <si>
    <t>INTERNAL REVENUE  SERVICE</t>
  </si>
  <si>
    <t>PENSION TRANSITION ARRANGEMENT DEPT. (PITAD)</t>
  </si>
  <si>
    <t>SDG DRAW DOWN</t>
  </si>
  <si>
    <t>DEVELOPMENT PARTNERS AND AIDS CORDINATION SECRETARIAT</t>
  </si>
  <si>
    <t>MEDIUM TERM EXENDITURWE FRAME WORKS SECRETARIAT (MTEF SEC)</t>
  </si>
  <si>
    <t>MONITORING OF GOVT. HOUSE PREMISES/TOWN ELECTRICITY</t>
  </si>
  <si>
    <t>3RD NUWRS PROJECT (DEDUCTION AT SOURCE)</t>
  </si>
  <si>
    <t>EU ASSISTED WATER SUPPLY/SANITATION SECTOR REFORM PROGRAM III</t>
  </si>
  <si>
    <t>UBEC PROJECT</t>
  </si>
  <si>
    <t>STATE TEACHING SERVICE COMMISSION LOANS BOARD</t>
  </si>
  <si>
    <t>FOREIGN LOAN DRAW DOWN (SEPIP)</t>
  </si>
  <si>
    <t>GOVT. PUPILS IN CHILDREN HOME/PRIMARY SCHOOL</t>
  </si>
  <si>
    <t>CORPERS ALLOWANCE, REPATRIATION AND LOCUM</t>
  </si>
  <si>
    <t>TOF</t>
  </si>
  <si>
    <t>SUBVENTION</t>
  </si>
  <si>
    <t>SOCIAL COST</t>
  </si>
  <si>
    <t>PERSONEL</t>
  </si>
  <si>
    <t>OVERHEAD</t>
  </si>
  <si>
    <t>TRANSFER TO LOCAL GOVERNMENT (PARIS CLUB REFUND)</t>
  </si>
  <si>
    <t>UNREMITTED DEDUCTIONS</t>
  </si>
  <si>
    <t>OFFICE OF ACCOUNTANT GENERAL</t>
  </si>
  <si>
    <t>Expenditure Financed by Aids &amp; Grants</t>
  </si>
  <si>
    <t>YEAR</t>
  </si>
  <si>
    <t>TOTAL PAYMENT</t>
  </si>
  <si>
    <t>INTEREST PAID (40% OF TOTAL PAYMENT)</t>
  </si>
  <si>
    <t>PRINCIPAL PAYMENT</t>
  </si>
  <si>
    <t>TOTAL PRINCIPAL PAYMENT</t>
  </si>
  <si>
    <t>TOTAL INTEREST PAYMENT</t>
  </si>
  <si>
    <t>A+B</t>
  </si>
  <si>
    <t>F=A+C</t>
  </si>
  <si>
    <t>G=B+D</t>
  </si>
  <si>
    <t>INTEREST PAID (42% OF TOTAL PAYMENT)</t>
  </si>
  <si>
    <r>
      <t xml:space="preserve"> (</t>
    </r>
    <r>
      <rPr>
        <b/>
        <strike/>
        <sz val="8"/>
        <color theme="1"/>
        <rFont val="Calibri"/>
        <family val="2"/>
        <scheme val="minor"/>
      </rPr>
      <t>N</t>
    </r>
    <r>
      <rPr>
        <b/>
        <sz val="8"/>
        <color theme="1"/>
        <rFont val="Calibri"/>
        <family val="2"/>
        <scheme val="minor"/>
      </rPr>
      <t>)</t>
    </r>
  </si>
  <si>
    <t>FIRST TRANCHE  (N)</t>
  </si>
  <si>
    <t>TOTAL  (N)</t>
  </si>
  <si>
    <t>PRINCIPAL LOAN OBTAINED   (A)</t>
  </si>
  <si>
    <t>INTEREST PAYABLE      (B)</t>
  </si>
  <si>
    <t>TOTAL LOAN PAYABLE     (C=A+B)</t>
  </si>
  <si>
    <t>BALANCE AS AT 31/12/2017         (E=C-D)</t>
  </si>
  <si>
    <t>SECOND TRANCHE (N)</t>
  </si>
  <si>
    <t>TOTALS</t>
  </si>
  <si>
    <t>FINANCE INSTITUTION</t>
  </si>
  <si>
    <t>EDUCATION TRUST FUND</t>
  </si>
  <si>
    <t>ANNEXURE I:  FUNCTIONAL SEGMENT REPORTS  (ACTUAL CASH BASIS)</t>
  </si>
  <si>
    <t>ANNEXURE II:  DETAILS OF GOVERNMENT EXPENDITURE BY FUNCTION   (ACTUAL CASH BASIS)</t>
  </si>
  <si>
    <t>STATEMENT OF COMPARISON OF BUDGET AND ACTUAL CASH</t>
  </si>
  <si>
    <t>CLASSIFICATION</t>
  </si>
  <si>
    <t xml:space="preserve">Land and Building </t>
  </si>
  <si>
    <t>SEPA</t>
  </si>
  <si>
    <t>Min. of Works</t>
  </si>
  <si>
    <t xml:space="preserve">Construction of Hope Paper Mills and Federal Housing Road  </t>
  </si>
  <si>
    <t xml:space="preserve">Rehabilitation of Ado township </t>
  </si>
  <si>
    <t xml:space="preserve">Dualization of Ilawe township </t>
  </si>
  <si>
    <t xml:space="preserve">Construction of Adebayo -Ori- Apata- Nova Road </t>
  </si>
  <si>
    <t xml:space="preserve">Construction of Overhead bridge </t>
  </si>
  <si>
    <t xml:space="preserve">Dualization of Ijero Township </t>
  </si>
  <si>
    <t xml:space="preserve">Extension of Ado-Ikere dual carriage way phase ll </t>
  </si>
  <si>
    <t>Fee for Consuitancy on Road project</t>
  </si>
  <si>
    <t>Rehabilitation of Iropora-Epe-Araromi-Ijero</t>
  </si>
  <si>
    <t xml:space="preserve">Rehabilitation of Igbemo-Ilumoba road </t>
  </si>
  <si>
    <t>Rehabilitation of Okemesi Osun Osun State border</t>
  </si>
  <si>
    <t>Rehabilitation of Ifaki-Orin-Ido road</t>
  </si>
  <si>
    <t xml:space="preserve">Construction of Overhead bridge/Fly over </t>
  </si>
  <si>
    <t>Dualization of Imugbagba Odo-ado,</t>
  </si>
  <si>
    <t>Dualization of Ise township</t>
  </si>
  <si>
    <t>Dualization of Emure township</t>
  </si>
  <si>
    <t xml:space="preserve">Consultancy fee on Road project </t>
  </si>
  <si>
    <t xml:space="preserve">Construction of speaker resident road </t>
  </si>
  <si>
    <t xml:space="preserve">rehabilitation of college road </t>
  </si>
  <si>
    <t>Construction of Adebayo Ori-Apata</t>
  </si>
  <si>
    <t>Rehabilitation of Ayetoro -Ewu-Iye road</t>
  </si>
  <si>
    <t xml:space="preserve">Consultancy fee on Ise road Project </t>
  </si>
  <si>
    <t>Rehabilitation of ise-Ekiti township</t>
  </si>
  <si>
    <t xml:space="preserve">Consultancy fee for constitution of new high court complex </t>
  </si>
  <si>
    <t xml:space="preserve">Dualization of Ijero Township road  </t>
  </si>
  <si>
    <t xml:space="preserve">Rehabilitation of Iropors,Epe,Araromi road </t>
  </si>
  <si>
    <t xml:space="preserve">Construction of bridge over Ero river </t>
  </si>
  <si>
    <t>consultancy fee for construction of new speaker office</t>
  </si>
  <si>
    <t>Consruction of Igbemo,Ilumoba road</t>
  </si>
  <si>
    <t xml:space="preserve">Construction of Adebayo Ori road </t>
  </si>
  <si>
    <t>extension of Ado-Ekiti Dualization phase ll</t>
  </si>
  <si>
    <t>Lightening and Fencing of Fajuyi high court</t>
  </si>
  <si>
    <t xml:space="preserve">procurement of additional 400 pieces of LED lamps for on-going project </t>
  </si>
  <si>
    <t xml:space="preserve">Beautification and water fountain along Fajuyi&amp; Ojumose </t>
  </si>
  <si>
    <t>Construction of International School Afao road</t>
  </si>
  <si>
    <t xml:space="preserve">Construction of Otun-Osan-Ora road </t>
  </si>
  <si>
    <t xml:space="preserve">Construction of Adebayo Ori-Apata in Nova </t>
  </si>
  <si>
    <t xml:space="preserve">Procurement and Installation of Street light for extension of Ado-Ikere Dual Carriage </t>
  </si>
  <si>
    <t xml:space="preserve">Consultancy fee for Oja -Oba Ultra Modern Market </t>
  </si>
  <si>
    <t>The accounting policies and notes to the accounts form an integral part of these Financial Statements.</t>
  </si>
  <si>
    <t>Net surplus/(deficit)for the Period</t>
  </si>
  <si>
    <t>CURRENT ASSETS</t>
  </si>
  <si>
    <t>WEMA SHARES</t>
  </si>
  <si>
    <t>NOTE:  The Statement of Comparison of Budget and Actual Amount above is prepared on Cash Basis same as Budget.</t>
  </si>
  <si>
    <t xml:space="preserve"> TRANSFERRED TO LOCAL GOVT.</t>
  </si>
  <si>
    <t>JAAC</t>
  </si>
  <si>
    <t xml:space="preserve"> STATEMENT OF FINANCIAL POSITION</t>
  </si>
  <si>
    <t xml:space="preserve"> STATEMENT OF CASH FLOW</t>
  </si>
  <si>
    <t xml:space="preserve"> STATEMENT OF FINANCIAL PERFORMANCE</t>
  </si>
  <si>
    <t>STATEMENT OF CHANGE IN NET ASSETS/EQUITY</t>
  </si>
  <si>
    <t>RECURRENT</t>
  </si>
  <si>
    <t xml:space="preserve">REVENUE </t>
  </si>
  <si>
    <t>CHARTS</t>
  </si>
  <si>
    <t>SHARE OF VAT</t>
  </si>
  <si>
    <t>AIDS &amp; GRANTS</t>
  </si>
  <si>
    <t>DOMESTIC LOAN</t>
  </si>
  <si>
    <t>OTHER REVENUE</t>
  </si>
  <si>
    <t>SHARE OF FAAC</t>
  </si>
  <si>
    <t>SALARIES &amp; WAGES</t>
  </si>
  <si>
    <t>ALLOWANCE</t>
  </si>
  <si>
    <t>SOCIAL BENEFITS</t>
  </si>
  <si>
    <t>OVERHEAD COST</t>
  </si>
  <si>
    <t>TRANSFER TO OTHER FUND</t>
  </si>
  <si>
    <t>SUBVENTION/GRANT</t>
  </si>
  <si>
    <t>CAPITAL ASSETS</t>
  </si>
  <si>
    <t>F. LOAN REPAYMENT</t>
  </si>
  <si>
    <t>D. LOAN REPAYMENT</t>
  </si>
  <si>
    <t>Allowances (Non Regular)</t>
  </si>
  <si>
    <t>Addition</t>
  </si>
  <si>
    <t>Balance as at 31/12/17</t>
  </si>
  <si>
    <t>Investment (Bond Sinking Fund Account Balance)</t>
  </si>
  <si>
    <t>Work in Progress (PPE)</t>
  </si>
  <si>
    <t>BALANCE  B/F</t>
  </si>
  <si>
    <t>ADDITION YET TO BE CAPTURED BY DMO</t>
  </si>
  <si>
    <t>LESS:</t>
  </si>
  <si>
    <t>PRINCIPAL REPAYMENT</t>
  </si>
  <si>
    <t>BALANCE  C/D</t>
  </si>
  <si>
    <t>AIDS AND GRANTS</t>
  </si>
  <si>
    <t>OPENING BALANCE     (2017 RATE)</t>
  </si>
  <si>
    <t>OPENING BALANCE     (2016 RATE)</t>
  </si>
  <si>
    <t>F=D+E</t>
  </si>
  <si>
    <t>I=G+H</t>
  </si>
  <si>
    <t>J=I*306</t>
  </si>
  <si>
    <t>TOTAL    PAYMENT IN NAIRA</t>
  </si>
  <si>
    <t>K=F-G</t>
  </si>
  <si>
    <t>L=F-G</t>
  </si>
  <si>
    <t xml:space="preserve">FINANCIAL STATEMENTS FOR THE YEAR ENDED 31ST DECEMBER, 2017 </t>
  </si>
  <si>
    <t>CLOSING     BALANCE</t>
  </si>
  <si>
    <t>L=K*306</t>
  </si>
  <si>
    <t>Investment Income not Recognised in the Statement of Financial Performance</t>
  </si>
  <si>
    <t>Other Capital Receipts</t>
  </si>
  <si>
    <t>₦</t>
  </si>
  <si>
    <t xml:space="preserve"> ACTUAL           (2017)</t>
  </si>
  <si>
    <t>ACTUAL                  2018</t>
  </si>
  <si>
    <t>FINAL BUDGET     2018</t>
  </si>
  <si>
    <t>Transfer to Other Funds</t>
  </si>
  <si>
    <t>NOTE 5B: DETAILS OF NON-TAX REVENUE (IGR)</t>
  </si>
  <si>
    <t>NOTE 6: INTREST EARNED, INVESTMENT INCOME AND OTHER REVENUE</t>
  </si>
  <si>
    <t>NOTE 7:  AIDS AND GRANTS</t>
  </si>
  <si>
    <t>NOTE 8: TRANSFER FROM LOCAL GOVERNMENTS</t>
  </si>
  <si>
    <t>NOTE 9:  TRANSFER TO OTHER GOVERNMENT ENTITIES</t>
  </si>
  <si>
    <t>2018</t>
  </si>
  <si>
    <t>FOREIGN LOAN INTEREST CHARGES</t>
  </si>
  <si>
    <t>DOMESTIC LOAN INTEREST CHARGES</t>
  </si>
  <si>
    <t>LEGAL CHARGES</t>
  </si>
  <si>
    <t>NOTE 13: OVERHEAD COST (BY SECTORS)</t>
  </si>
  <si>
    <t>COST AS AT 1/1/18</t>
  </si>
  <si>
    <t>AMOUNT (₦)</t>
  </si>
  <si>
    <t>INVESTMENTS (WEMA SHARES)</t>
  </si>
  <si>
    <t>31/12/2017</t>
  </si>
  <si>
    <t>FOREX EQUALIZATION</t>
  </si>
  <si>
    <t>NNPC FUND</t>
  </si>
  <si>
    <t>X</t>
  </si>
  <si>
    <t>MINISTRY OF BUDGET AND ECONOMIC PLANNING</t>
  </si>
  <si>
    <t>POLITICAL APPOINTEES (P&amp;E)</t>
  </si>
  <si>
    <t>STATE TEACHING SERVICE COMMISSION (SECONDARY SCHOOL TEACHERS)</t>
  </si>
  <si>
    <t>STATE HEALTH INSURANCE SCHEME (SHIS)</t>
  </si>
  <si>
    <t>PENSION/MAINTENANCE FOR PAST POLITICAL OFFICE HOLDERS (GOVS. &amp; DEP. GOVS.)</t>
  </si>
  <si>
    <t>EKITI STATE ROAD MAINTENMENT AGENCY (EKROMA)</t>
  </si>
  <si>
    <t>STATE INTEGRATED FINANCIAL MANAGEMENT INFORMATION SYSTEM (SIFMIS)</t>
  </si>
  <si>
    <t>455-0401</t>
  </si>
  <si>
    <t xml:space="preserve">MINISTRY OF BUDGET AND ECONOMIC PLANNING </t>
  </si>
  <si>
    <t>459-0103</t>
  </si>
  <si>
    <t>PUBLIC COMPLAINT COMMISSION</t>
  </si>
  <si>
    <t>456-0103</t>
  </si>
  <si>
    <t>SHIC (MINISTRY OF HEALTH)</t>
  </si>
  <si>
    <t>456-0602</t>
  </si>
  <si>
    <t>MEDICAL MISSION (HMB)</t>
  </si>
  <si>
    <t>459-3116</t>
  </si>
  <si>
    <t>HOME GROWN SCHOOL FEEDING (MB&amp;EP)</t>
  </si>
  <si>
    <t>456-0104</t>
  </si>
  <si>
    <t>MAINTENANCE OF HEALTH DATA BANK</t>
  </si>
  <si>
    <t>459-3608</t>
  </si>
  <si>
    <t>FUND MANAGEMENT (AG's OFFICE)</t>
  </si>
  <si>
    <t>MAIN ACCOUNTS DEPARTMENT (AG's OFFICE)</t>
  </si>
  <si>
    <t>459-2805</t>
  </si>
  <si>
    <t>AUDITING OF ALL SECONDARY SCHOOL</t>
  </si>
  <si>
    <t>459-2307</t>
  </si>
  <si>
    <t>PEER REVIEW FORUM FOR HEAD OF SERVICE AND PERMANENT SECRETARIES (ESTABS)</t>
  </si>
  <si>
    <t>458-0102</t>
  </si>
  <si>
    <t>PHYSICAL PLANNING AND DEVELOPMENT MATTERS (MINISTRY OF LANDS)</t>
  </si>
  <si>
    <t>GOVERNMENT HOUSE &amp; PROTOCOL</t>
  </si>
  <si>
    <t>POLITICAL AND ECONOMIC AFFAIRS DEPARTMENT (P&amp;E)</t>
  </si>
  <si>
    <t>459-2901</t>
  </si>
  <si>
    <t>PENSION TRANSITION ARRANGEMENT DEPARTMENT</t>
  </si>
  <si>
    <t>FADAMA PROJECT (EXTERNAL FINANCE)</t>
  </si>
  <si>
    <t xml:space="preserve"> MINISTRY OF AGRICULTURE AND RURAL DEVELOPMENT (EXTERNAL FINANCE)</t>
  </si>
  <si>
    <t>EKITI STATE AIDS CONTROL AGENCY    (EXTERNAL FINANCE)</t>
  </si>
  <si>
    <t>RURAL WATER SUPPLY AND SANITATION AGENCY (EXTERNAL FINANCE)</t>
  </si>
  <si>
    <t>GRANTS FROM UNICEF ASSISTED PROGRAMMES</t>
  </si>
  <si>
    <t>459-3607</t>
  </si>
  <si>
    <t>459-0415</t>
  </si>
  <si>
    <t>GOVERNMENT ASSET UNIT</t>
  </si>
  <si>
    <t>FOSTERFIELD</t>
  </si>
  <si>
    <t xml:space="preserve">STATE UNIVERSAL BASIC EDUCATION  BOARD </t>
  </si>
  <si>
    <t>Deficit on Revaluation of Investment (Bond Sinking Fund Account Balance)</t>
  </si>
  <si>
    <t>SALARY</t>
  </si>
  <si>
    <t>BAL B/F</t>
  </si>
  <si>
    <t>PERF A/C</t>
  </si>
  <si>
    <t>BAL C/D</t>
  </si>
  <si>
    <t>10% CONTR.</t>
  </si>
  <si>
    <t>Transfer to Other Funds (ToF)</t>
  </si>
  <si>
    <t>NOTE 2:   VALUE ADDED TAX</t>
  </si>
  <si>
    <t>NOTE 3:   OTHER  STATUTORY ALLOCATION &amp; TRANSFERS (FAAC)</t>
  </si>
  <si>
    <t>NOTE 26: FOREIGN LOAN DRAW DOWN</t>
  </si>
  <si>
    <t>NOTE 27: DOMESTIC LOANS</t>
  </si>
  <si>
    <t>NOTE 34: ADVANCES (REVOLVING ADVANCES)</t>
  </si>
  <si>
    <t>NOTE 41: SCHEDULE OF EXPENDITURE CAPTURED IN PPE</t>
  </si>
  <si>
    <t>DEPRECIATION AS AT 1/1/18</t>
  </si>
  <si>
    <t xml:space="preserve">Ronovation of Examination Hall at Announciation high School Ikere Ekiti </t>
  </si>
  <si>
    <t xml:space="preserve">Construction of class room at Ado Grammar School Ado Ekiti </t>
  </si>
  <si>
    <t xml:space="preserve">Ronovation of Techinical block Eyemojo Compr. High School Osan Ekiti </t>
  </si>
  <si>
    <t xml:space="preserve">Ronovation of Ogoga Block at Announciation School Ikere Ekiti </t>
  </si>
  <si>
    <t xml:space="preserve">Ronovation of staff Quarter Announciation School, Ikere Ekiti  </t>
  </si>
  <si>
    <t xml:space="preserve">Ronovation of City block Hostel and Admin Block At St Louis Girls School, Ikere Ekiti </t>
  </si>
  <si>
    <t>Ronovation of Admin &amp; SS2 block at Announciation School Ikere Ekiti</t>
  </si>
  <si>
    <t xml:space="preserve">Ronovation of Staff Quarters at St Louis Girls School, Ikere Ekiti </t>
  </si>
  <si>
    <t>Dualization of Emure township road</t>
  </si>
  <si>
    <t>Dualization of Ise township road</t>
  </si>
  <si>
    <t>Auticultural work along Ikere road</t>
  </si>
  <si>
    <t>Maintenance of flower area along Ikere road</t>
  </si>
  <si>
    <t>Rehabilitation of Aramoko road</t>
  </si>
  <si>
    <t>FURNITURE AND FITTINGS</t>
  </si>
  <si>
    <t>WATER CORPORATION</t>
  </si>
  <si>
    <t>Leakage electrical fault</t>
  </si>
  <si>
    <t>Rehabilitation of street of Are-Iworoko road</t>
  </si>
  <si>
    <t>ELECTRICITY BOARD</t>
  </si>
  <si>
    <t>FURNITURE &amp; FITTING</t>
  </si>
  <si>
    <t>BALANCE B/FORWARD (AT COST)</t>
  </si>
  <si>
    <t>COMMUNITY DEVELOPMENT</t>
  </si>
  <si>
    <t>FURNITURES AND FITTINGS</t>
  </si>
  <si>
    <t xml:space="preserve">construction of modern Oja Oba market </t>
  </si>
  <si>
    <t>TRANSFERS</t>
  </si>
  <si>
    <t>A/B%</t>
  </si>
  <si>
    <t>PARIS (NGF) REFUND</t>
  </si>
  <si>
    <t>FOR THE YEAR ENDED 31ST DECEMBER, 2018</t>
  </si>
  <si>
    <t xml:space="preserve"> AS AT 31ST DECEMBER, 2018</t>
  </si>
  <si>
    <t>31/12/2018</t>
  </si>
  <si>
    <t xml:space="preserve"> FOR THE YEAR ENDED 31ST DECEMBER, 2018</t>
  </si>
  <si>
    <t>CASH &amp; ITS EQUIVALENT AS AT 31ST DECEMBER</t>
  </si>
  <si>
    <t xml:space="preserve"> FOR THE  YEAR ENDED 31ST DECEMBER, 2018</t>
  </si>
  <si>
    <t xml:space="preserve">FINANCIAL STATEMENTS FOR THE YEAR ENDED 31ST DECEMBER, 2018          </t>
  </si>
  <si>
    <t xml:space="preserve">FINANCIAL STATEMENTS FOR THE YEAR ENDED 31ST DECEMBER, 2018 </t>
  </si>
  <si>
    <t xml:space="preserve">FINANCIAL STATEMENTS FOR THE YEAR ENDED 31ST DECEMBER, 2018         </t>
  </si>
  <si>
    <t xml:space="preserve">FINANCIAL STATEMENTS FOR THE YEAR ENDED 31ST DECEMBER, 2018                                                                                       </t>
  </si>
  <si>
    <t>JULY</t>
  </si>
  <si>
    <t>AUGUST</t>
  </si>
  <si>
    <t>SEPTEMBER</t>
  </si>
  <si>
    <t>OCTOBER</t>
  </si>
  <si>
    <t>NOVEMBER</t>
  </si>
  <si>
    <t>DECEMBER</t>
  </si>
  <si>
    <t>NOTE 4:   FACILITIES REPAYMENT; DEDUCTION AT SOURCE (FAAC)</t>
  </si>
  <si>
    <t>EXCESS CRUDE REFUND</t>
  </si>
  <si>
    <t>10% CONTRIBUTION TO RETIREMENT SAVINGS FUND ACCOUNT</t>
  </si>
  <si>
    <t>COST AS AT 31/12/18</t>
  </si>
  <si>
    <t>AS AT 31/12/18</t>
  </si>
  <si>
    <t>NET BOOK VALUE (31/12/18)</t>
  </si>
  <si>
    <t>PROJECT FINANCED UNDER STWSS (EU) PROJECTS</t>
  </si>
  <si>
    <t xml:space="preserve">MINISTRY FOR LOCAL GOVERNMENT AND COMMUNITY DEVELOPMENT </t>
  </si>
  <si>
    <t>EKITI STATE PENSION COMMISSION</t>
  </si>
  <si>
    <t>PRIMARY HEALTH CARE DEVELOPMENT AGENCY</t>
  </si>
  <si>
    <t>PARIS CLUB REFUND</t>
  </si>
  <si>
    <t>MINISTRY OF EDUCATION (UNICEF)</t>
  </si>
  <si>
    <t>TOTAL  C= (A+B)</t>
  </si>
  <si>
    <t>ADD UNREMITTED DEDUCTION (2017)   D</t>
  </si>
  <si>
    <t>GRAND TOTAL   C+D</t>
  </si>
  <si>
    <t>LESS UNREMITTED DEDUCTION (2018)</t>
  </si>
  <si>
    <t>ACTUAL AMOUNT PAID</t>
  </si>
  <si>
    <t>JANUARY-DECEMBER 2018</t>
  </si>
  <si>
    <t>Balance as at 31/12/18</t>
  </si>
  <si>
    <t>31/12/18</t>
  </si>
  <si>
    <t>SALARY BUDGET</t>
  </si>
  <si>
    <t>POLARIS</t>
  </si>
  <si>
    <t>STERLING</t>
  </si>
  <si>
    <t>UBA</t>
  </si>
  <si>
    <t xml:space="preserve">FIDELITY </t>
  </si>
  <si>
    <t xml:space="preserve">KEYSTONE </t>
  </si>
  <si>
    <t xml:space="preserve">POLARIS </t>
  </si>
  <si>
    <t xml:space="preserve">WEMA </t>
  </si>
  <si>
    <t xml:space="preserve">ZENITH </t>
  </si>
  <si>
    <t>CAPITAL I</t>
  </si>
  <si>
    <t>L.G COMM DEVELOPMENT</t>
  </si>
  <si>
    <t>EKS COMM DEVELOPMENT</t>
  </si>
  <si>
    <t>RESERVE FUND A\C</t>
  </si>
  <si>
    <t>EKSG RESERVE</t>
  </si>
  <si>
    <t>EKSG SEVERANCE PACKAGE</t>
  </si>
  <si>
    <t>COMM DEVELOPMENT</t>
  </si>
  <si>
    <t>B .S RESPONS. ACCT</t>
  </si>
  <si>
    <t>TESCOM</t>
  </si>
  <si>
    <t>PLATE NUMBER</t>
  </si>
  <si>
    <t>CIVIL SERVANT SALARY</t>
  </si>
  <si>
    <t>EKSG SPECIAL FUND</t>
  </si>
  <si>
    <t>BACK DUTY ASSES.</t>
  </si>
  <si>
    <t>BOND PROCEED</t>
  </si>
  <si>
    <t>LOCK UP SHOP</t>
  </si>
  <si>
    <t xml:space="preserve">RESERVED FUND ACCT </t>
  </si>
  <si>
    <t>CSS SALARY REFUND</t>
  </si>
  <si>
    <t>TECHNICAL COLL. DEV.</t>
  </si>
  <si>
    <t>SOCIAL SEC. E-PYMT</t>
  </si>
  <si>
    <t>SOCIAL SECURITY INITIATIVE</t>
  </si>
  <si>
    <t>SECONDARY EDU. DEV.</t>
  </si>
  <si>
    <t>PRIMARYARY EDU. DEV.</t>
  </si>
  <si>
    <t>FURNITURE ALLOWANCE</t>
  </si>
  <si>
    <t>UNSERVICEABLE VEHICLES</t>
  </si>
  <si>
    <t>EKSG REMMITTANCE</t>
  </si>
  <si>
    <t>RENT OF GOVT. QUARTERS</t>
  </si>
  <si>
    <t>PROCEED FROM SHARES</t>
  </si>
  <si>
    <t>PTF MOTOR CYCLE LOAN</t>
  </si>
  <si>
    <t>TIPPER HAULAGE</t>
  </si>
  <si>
    <t>OJA-OBA MODERN MARKET</t>
  </si>
  <si>
    <t>STOMACH INFRASTR.</t>
  </si>
  <si>
    <t>CONTINGENCY</t>
  </si>
  <si>
    <t>IGR EXPENDITURE</t>
  </si>
  <si>
    <t>FAAC / CRF</t>
  </si>
  <si>
    <t>NOTE 5A: INTERNALY GENERATED REVENUE (IGR)</t>
  </si>
  <si>
    <t>ADDITION (JAN-DEC)</t>
  </si>
  <si>
    <t>AMMORTIZATION AS AT 1/1/18</t>
  </si>
  <si>
    <t>Refunds (2007-2018)</t>
  </si>
  <si>
    <t>CONDITIONAL CASH TRANSFER</t>
  </si>
  <si>
    <t>DRAWN DOWN FUND (RECURRENT)</t>
  </si>
  <si>
    <t>PROJECT FUND MANAGEMENT UNIT</t>
  </si>
  <si>
    <t xml:space="preserve">Accountant General's Office </t>
  </si>
  <si>
    <t>Outstanding due to Soft Alliance on the State e-payroll</t>
  </si>
  <si>
    <t>Min. of Women Affair</t>
  </si>
  <si>
    <t xml:space="preserve">Production of Customised Super Print (Ankara) </t>
  </si>
  <si>
    <t xml:space="preserve">Provision of Bio-Metric  data base for women trade group </t>
  </si>
  <si>
    <t xml:space="preserve">Reporting of Gender Based violence prohibition law. </t>
  </si>
  <si>
    <t xml:space="preserve">Two years rent for Children Recreation Centre. </t>
  </si>
  <si>
    <t xml:space="preserve">2018 International women's day Celebration </t>
  </si>
  <si>
    <t xml:space="preserve">16-day activitism  against gender base violence </t>
  </si>
  <si>
    <t xml:space="preserve">Updating of Service Management in School under the enhance school data bank (EMIS) </t>
  </si>
  <si>
    <t xml:space="preserve">Min. of Education </t>
  </si>
  <si>
    <t xml:space="preserve">Consultancy to SIEC to conduct pre-election voter's education </t>
  </si>
  <si>
    <t>EKSIEC</t>
  </si>
  <si>
    <t xml:space="preserve">Litigation arising from Dec. 2017 Local Govt. Election  </t>
  </si>
  <si>
    <t xml:space="preserve">payment for Howard for survey of six difference job. </t>
  </si>
  <si>
    <t>Survyeor General</t>
  </si>
  <si>
    <t xml:space="preserve">Publication of "Ekiti under my watch" by Abidaksidea International Ltd  </t>
  </si>
  <si>
    <t xml:space="preserve">Govt. House and Protocol </t>
  </si>
  <si>
    <t xml:space="preserve">Min. of Health </t>
  </si>
  <si>
    <t xml:space="preserve">Primary Health Care </t>
  </si>
  <si>
    <t xml:space="preserve">Quaterly Task Force Meeting on Polio Eradication and Routine Immunization </t>
  </si>
  <si>
    <t xml:space="preserve">Effective Implementation of devolution Exercise in the State, by Executive Secretary </t>
  </si>
  <si>
    <t xml:space="preserve">Sensitization programme on comm. Paticipation Developmnet in all local Govt. </t>
  </si>
  <si>
    <t>Min. of Local Govt.</t>
  </si>
  <si>
    <t xml:space="preserve">Fuelling and Maintenance of Street light </t>
  </si>
  <si>
    <t xml:space="preserve">Electricity Board </t>
  </si>
  <si>
    <t xml:space="preserve">Claimant of land Acquired </t>
  </si>
  <si>
    <t xml:space="preserve">Printing of Certificate of No Objection  and Payment </t>
  </si>
  <si>
    <t xml:space="preserve">Bureau of Public Procurement </t>
  </si>
  <si>
    <t xml:space="preserve">Suspected Lasser fever outbreak </t>
  </si>
  <si>
    <t xml:space="preserve">Measles Vaccination campain </t>
  </si>
  <si>
    <t>Housing and Urban Development</t>
  </si>
  <si>
    <t xml:space="preserve">Consultancy on design of new Gov's Office </t>
  </si>
  <si>
    <t xml:space="preserve">Consultancy Projects of Ekiti State </t>
  </si>
  <si>
    <t xml:space="preserve">Consultancy on Road Project on -going 2017 </t>
  </si>
  <si>
    <t xml:space="preserve">Consultancy on ProJect For 2017 in Ekiti </t>
  </si>
  <si>
    <t>Consultancy for  Gifted School in Afao</t>
  </si>
  <si>
    <t xml:space="preserve">Counterpart fund to EKRUWASSA, STWSP, and Donor Support. </t>
  </si>
  <si>
    <t xml:space="preserve">Min. of Budget </t>
  </si>
  <si>
    <t xml:space="preserve">GCC Fund to STWSP </t>
  </si>
  <si>
    <t xml:space="preserve">Counterpart fund for EKRUWASSA, STWSP donor support </t>
  </si>
  <si>
    <t xml:space="preserve">2017 Counterpart fund for EKRUWASSA </t>
  </si>
  <si>
    <t xml:space="preserve">Conpilation And Documentation of 2018 Annual Capital Project Performance Appraisal report  </t>
  </si>
  <si>
    <t xml:space="preserve">Cash Assistance to less Privilegde </t>
  </si>
  <si>
    <t xml:space="preserve"> Bureau of productivity and empowerment</t>
  </si>
  <si>
    <t xml:space="preserve">Social Security Stipend to beneficiary and Monitoring </t>
  </si>
  <si>
    <t xml:space="preserve">  Bureau of productivity and empowerment</t>
  </si>
  <si>
    <t xml:space="preserve">Processing of application of 40,000 Unemployed Youth </t>
  </si>
  <si>
    <t xml:space="preserve">Transportation fare and Logistic to Pensioners </t>
  </si>
  <si>
    <t>MIN. OF WORKS</t>
  </si>
  <si>
    <t>Renovation of presidetial lodge</t>
  </si>
  <si>
    <t>Construction of new Govts. Office</t>
  </si>
  <si>
    <t>Construction of government house car park</t>
  </si>
  <si>
    <t>Rehabilitation of VIP lodge</t>
  </si>
  <si>
    <t>Construction of new high court</t>
  </si>
  <si>
    <t>Construction of fence with gate</t>
  </si>
  <si>
    <t xml:space="preserve"> Construction of old garage car park</t>
  </si>
  <si>
    <t>Renovation of high court road</t>
  </si>
  <si>
    <t>Construction of speaker resident</t>
  </si>
  <si>
    <t>Construction of car park Fajuyi</t>
  </si>
  <si>
    <t>Demolition of Ojumose-Okesa Okeyinmi</t>
  </si>
  <si>
    <t>Demolition of building at Ijoka</t>
  </si>
  <si>
    <t>Construction of open shop at Okesa</t>
  </si>
  <si>
    <t>Renovation of governor PA's lodge</t>
  </si>
  <si>
    <t>Rehabilitation of Adetiloye hall</t>
  </si>
  <si>
    <t>Construction of new ministry of finance</t>
  </si>
  <si>
    <t>Construction of Govt. office internal road</t>
  </si>
  <si>
    <t>Renovation of Finance &amp; Admin Dept</t>
  </si>
  <si>
    <t>Replacement of Oluyemi Kayode roof</t>
  </si>
  <si>
    <t xml:space="preserve">Construction of car park </t>
  </si>
  <si>
    <t>Rehabilitation of deputy Govts house linking GRA</t>
  </si>
  <si>
    <t>Additional work on construction of new Govts house</t>
  </si>
  <si>
    <t>Construction of car park at Govts house gate Ado</t>
  </si>
  <si>
    <t>Construction of fence at D.Gov residence Ado</t>
  </si>
  <si>
    <t xml:space="preserve">Balance on consultancy service on construction </t>
  </si>
  <si>
    <t>Renovation of old Ministrry of Finance</t>
  </si>
  <si>
    <t>Renovation of Divan Adesua bulding Ado</t>
  </si>
  <si>
    <t>Renovation of the office Hill top bulding Ado</t>
  </si>
  <si>
    <t xml:space="preserve">Renovation of scops lodge Ado </t>
  </si>
  <si>
    <t>Renovation of old speaker lodge Ado Ekiti</t>
  </si>
  <si>
    <t>Renovation of Comm. Of finance lodge Ado</t>
  </si>
  <si>
    <t>Renovation of speakers boys quarters Ado</t>
  </si>
  <si>
    <t>Renovation of speakers residence charlet Ado</t>
  </si>
  <si>
    <t>Furnishing of new Govt office Ado Ekiti</t>
  </si>
  <si>
    <t>Procurement of additional 400pieces of led lamp</t>
  </si>
  <si>
    <t>Land scaping fencing &amp; lightning along fajuyi</t>
  </si>
  <si>
    <t>Beautification &amp; water of fountain along Fajuyi</t>
  </si>
  <si>
    <t>Extensionb of Ado/Ikere dual carriage road</t>
  </si>
  <si>
    <t>Construction of Internal road</t>
  </si>
  <si>
    <t>Dualization of sportless road</t>
  </si>
  <si>
    <t>Grading road withing Ado</t>
  </si>
  <si>
    <t>Construction of borehole</t>
  </si>
  <si>
    <t>Destilation of culvet</t>
  </si>
  <si>
    <t>Construction of Gifted internal road</t>
  </si>
  <si>
    <t xml:space="preserve">Destilation of culvet </t>
  </si>
  <si>
    <t>Construction of overhead bridge</t>
  </si>
  <si>
    <t>Construction of Otun-Ora road</t>
  </si>
  <si>
    <t>Rehabilitation Ado,Afao road</t>
  </si>
  <si>
    <t>Lighning  of green areas</t>
  </si>
  <si>
    <t>Connection of water supply</t>
  </si>
  <si>
    <t>Installation of water supply flood area</t>
  </si>
  <si>
    <t>Dual carriage road metropolis SUBEB</t>
  </si>
  <si>
    <t>Fajuyi gate relocation</t>
  </si>
  <si>
    <t>Installation of street light to Basiri</t>
  </si>
  <si>
    <t>Grading of selected road</t>
  </si>
  <si>
    <t>Rehabilitation of college road</t>
  </si>
  <si>
    <t>Fire work on overhead bridge</t>
  </si>
  <si>
    <t>Installation of street light.</t>
  </si>
  <si>
    <t>Purchase of 200 pieces of solar</t>
  </si>
  <si>
    <t>Construction of street light Basiri</t>
  </si>
  <si>
    <t>Repair of fail triangle call pipe along Nova Ado</t>
  </si>
  <si>
    <t>Construction of earth road</t>
  </si>
  <si>
    <t>Purchase of 180W LED lamps</t>
  </si>
  <si>
    <t>Procurement of 350 pieces of 180led lamp</t>
  </si>
  <si>
    <t>Consultancy on road project ongoing 2017</t>
  </si>
  <si>
    <t>Payment for road project ado Ekiti</t>
  </si>
  <si>
    <t>Beautification of Fajuyi and Ojumose Ado Ekiti</t>
  </si>
  <si>
    <t>Lightning &amp; fencing and landscaping along high court</t>
  </si>
  <si>
    <t>Lightning area along Ojumose, Okesa Ado Ekiti</t>
  </si>
  <si>
    <t>Lightning and fencing green area along okesa</t>
  </si>
  <si>
    <t>Construction of Adebayo/Ori-apata Ado Ekiti</t>
  </si>
  <si>
    <t>Construction of Otun, osan-ora road</t>
  </si>
  <si>
    <t>Landscaping fencing along high court</t>
  </si>
  <si>
    <t>Payment for consultancy of Gifted school Afao</t>
  </si>
  <si>
    <t>Additional bill on replacement of flood Ado</t>
  </si>
  <si>
    <t xml:space="preserve">Rehabilitation of Ado Afao road </t>
  </si>
  <si>
    <t>Maintenance of flyover area Ado Ekiti</t>
  </si>
  <si>
    <t>Payment toward the vegetation control Ekiti</t>
  </si>
  <si>
    <t>Construction of Ekiti state pavillion Ado Ekiti</t>
  </si>
  <si>
    <t>Construction of new civic centre Ado Ekiti</t>
  </si>
  <si>
    <t>Fixed chairs use at new pavillion</t>
  </si>
  <si>
    <t>Amount approved for the furnishing of new Govt offfice</t>
  </si>
  <si>
    <t>Amount approved for the new high court complex</t>
  </si>
  <si>
    <t>Purchase of chairs at pavillion</t>
  </si>
  <si>
    <t>Procurement of 350 piecess of LED lamp</t>
  </si>
  <si>
    <t>MINISTRY OF BUDGET</t>
  </si>
  <si>
    <t xml:space="preserve">Construction of drains of the bureau of public procurement </t>
  </si>
  <si>
    <t>Additional work on the drainage, painting and landscaping.</t>
  </si>
  <si>
    <t>Compensation to owner of properties demolition</t>
  </si>
  <si>
    <t>Construction of drainage and culvet</t>
  </si>
  <si>
    <t>earth dredging of emirin stream channel</t>
  </si>
  <si>
    <t xml:space="preserve"> rain storm at okesa</t>
  </si>
  <si>
    <t xml:space="preserve"> flood and erosion control works in Ado</t>
  </si>
  <si>
    <t xml:space="preserve"> construction pf land drain and culvert</t>
  </si>
  <si>
    <t>estimates/engineering design of flood &amp; erosion</t>
  </si>
  <si>
    <t>extension of low voltage network</t>
  </si>
  <si>
    <t>extension of power supply fof govt house</t>
  </si>
  <si>
    <t>extension of low  voltage network</t>
  </si>
  <si>
    <t>extension of electricity &amp; installation</t>
  </si>
  <si>
    <t>extension of electricity &amp; installation at gifted schl.</t>
  </si>
  <si>
    <t>connection  of high court central plant</t>
  </si>
  <si>
    <t>repair of 1400kva generator</t>
  </si>
  <si>
    <t>Acqusition of 250KVA generator at Govt. house</t>
  </si>
  <si>
    <t>repair of generator</t>
  </si>
  <si>
    <t>Connection of new governor office</t>
  </si>
  <si>
    <t>Purchase of equipment</t>
  </si>
  <si>
    <t xml:space="preserve">GOVT. HOUSE AND PROTOCOL </t>
  </si>
  <si>
    <t xml:space="preserve">INFRASTRUCTURE </t>
  </si>
  <si>
    <t xml:space="preserve">Payment for 2nd quarters of the general cleaning of Govt. house and Govr. Office Environment </t>
  </si>
  <si>
    <t xml:space="preserve">Payment for 3rd and 4th quarters of 2017 on general cleaning of Govt. house and Govr. Office  </t>
  </si>
  <si>
    <t xml:space="preserve">Payment for 2nd quarter of year 2018 on general cleaning of Govt. house and surrounding </t>
  </si>
  <si>
    <t>General cleaning of Govt house and surrounding (part payment of 1st and 2nd quarter 2018)</t>
  </si>
  <si>
    <t>Outstanding balance of 2017 payment on 2nd quarter on year 2018 on General Cleaning of Govt house Surrounding</t>
  </si>
  <si>
    <t xml:space="preserve">Renovation of Ekiti State Govt. House, Oke Bareke, Ado-Ekiti </t>
  </si>
  <si>
    <t xml:space="preserve">EKSUTH </t>
  </si>
  <si>
    <t xml:space="preserve">Renovation of Maternity Complex Ado-Ekiti </t>
  </si>
  <si>
    <t>POLITICAL AND ECONOMIC</t>
  </si>
  <si>
    <t xml:space="preserve">TRANSPORTATION EQUIPMENT </t>
  </si>
  <si>
    <t>Purhases of Toyotta Cruiser Jeep (2018 model)</t>
  </si>
  <si>
    <t>Procurement of one unit of 2018 Lexus (US Specs)</t>
  </si>
  <si>
    <t xml:space="preserve">Procurement of one unit Honda Accords 2018 Model </t>
  </si>
  <si>
    <t xml:space="preserve">ACCOUNTANT GENERAL </t>
  </si>
  <si>
    <t xml:space="preserve">Procurement of Equipment and accessories  of H.R Payroll and Payment Solution </t>
  </si>
  <si>
    <t xml:space="preserve">SUBEB </t>
  </si>
  <si>
    <t xml:space="preserve">Additional work / variation on the construction of the Gifted International Academy Afao </t>
  </si>
  <si>
    <t xml:space="preserve">Instructional Materials </t>
  </si>
  <si>
    <t>Procurement of tools Equipment and Training Material for GTC Ikole, Igbara-Odo</t>
  </si>
  <si>
    <t>Upgrading of equipment of facilities at GTC Ado - Ekiti</t>
  </si>
  <si>
    <t>Upgrading of facilities at GTC Ado - Ekiti</t>
  </si>
  <si>
    <t>Construction of computer Laboratory / Lecture Room at GTC Ikole Ekiti</t>
  </si>
  <si>
    <t>Construction of Electricity Workshop at Ikole Ekiti</t>
  </si>
  <si>
    <t>Purchase of Toyotal Land Cruiser Jeep</t>
  </si>
  <si>
    <t>Procurement of 2 unit of KIA RIO EX model for Govt use in Ekiti</t>
  </si>
  <si>
    <t>Procurement of 1 unit of KIA RIO EX model for Govt use, in Ekiti</t>
  </si>
  <si>
    <t>Procurement of 1 unit of KIA updating 2017 model for Govt use, in Ekiti</t>
  </si>
  <si>
    <t>Procurement of 2 unit of  facility use Lexus Car model E350 2007 for Govt use in Ekiti</t>
  </si>
  <si>
    <t>Procurement of 1 unit of  Toyota Pado Jeep 2018 model for use of head of vservice in Ekiti</t>
  </si>
  <si>
    <t xml:space="preserve">Renovation of PTAD building at old Govnor off Ado Ekiti </t>
  </si>
  <si>
    <t>FURNITURE AND FITTING</t>
  </si>
  <si>
    <t>Supply and installation of furniture and fitting to Lab.</t>
  </si>
  <si>
    <t>Procurement of 150double bunk for Gifted school</t>
  </si>
  <si>
    <t>Incurement of 1000 furniture items</t>
  </si>
  <si>
    <t>Procurement of 1000 unit of furniture items</t>
  </si>
  <si>
    <t>Supply and installation of inverter and solar system</t>
  </si>
  <si>
    <t>Work and Sinking of bole hole at Govt College Efon</t>
  </si>
  <si>
    <t>Purchase of 7 N0 of photoicopy machine for Min. of Edu.</t>
  </si>
  <si>
    <t>Procurement of 250 Nos student laptop</t>
  </si>
  <si>
    <t>Purchase of 50 Nos laptop and 50 Nos laserjet printers</t>
  </si>
  <si>
    <t>Procurement of 250 Nos student laptop computer</t>
  </si>
  <si>
    <t>Procurement of science equipment for Gifted school</t>
  </si>
  <si>
    <t>Procurement of 7 Nos sharp photocopy for Min. of Edu.</t>
  </si>
  <si>
    <t>Printing of continous assessment for public school in Ekiti state</t>
  </si>
  <si>
    <t>Purchase of 50 Nos laptop computer and 50 Nos of printer for Min. of Edu.</t>
  </si>
  <si>
    <t>TRANSPORT AND EQUIPMENT</t>
  </si>
  <si>
    <t>Procurement of 36 Nos fairly used Vehicle for AEO</t>
  </si>
  <si>
    <t>Procurement of 36 Nos fairly used Vehicle for AEO.</t>
  </si>
  <si>
    <t xml:space="preserve">Procurement of 1 toyotta 4x4 WD Hilux and 1 KIA </t>
  </si>
  <si>
    <t xml:space="preserve">LAND AND BUILDING </t>
  </si>
  <si>
    <t>Renovation of boy's hostel at Govt Science College , Iyin-Ekiti</t>
  </si>
  <si>
    <t>Additional work on the renovation of boy's hostel at govt College Ado-Ekiti</t>
  </si>
  <si>
    <t>Renovation of boy's Hostel at Govt College Ado-Ekiti</t>
  </si>
  <si>
    <t>Renovation of Dinning Hall at Govt College Usi-Ekiti</t>
  </si>
  <si>
    <t>Construction of Girls's hostel at govt College Ayede-Ekiti</t>
  </si>
  <si>
    <t>Completion of Science Laboratotry at Govt College Ayede-Ekiti</t>
  </si>
  <si>
    <t>Renovation of Boarding House Mistress Quarter at Govt. College Ikere- Ekiti</t>
  </si>
  <si>
    <t>Renovation of SS2 Block at Govt College Ikere-Ekiti</t>
  </si>
  <si>
    <t xml:space="preserve">Renovation of a Block of Classroom at Govt College Oye-Ekiti </t>
  </si>
  <si>
    <t xml:space="preserve">Renovation of JSS2 Block at Are/Afao Comprehensive. High School </t>
  </si>
  <si>
    <t>Renovation of Girls's Hostel at Govt. College Ikere-Ekiti</t>
  </si>
  <si>
    <t xml:space="preserve">Renovation of Workshop Block At Are/Afao Comprehensive High School </t>
  </si>
  <si>
    <t xml:space="preserve">Renovation JSS1 &amp; JSS2 Block at Annouciation Ikere-Ekiti  </t>
  </si>
  <si>
    <t>Renovation of School Hall at Are/ Afao Comp.</t>
  </si>
  <si>
    <t xml:space="preserve">Renovation of Ijaloke Comp. High School Emure-Ekiti </t>
  </si>
  <si>
    <t>Renovation of Examination Hall at Anouciation school Ikere-Ekiti</t>
  </si>
  <si>
    <t xml:space="preserve">Renovation of SS2 Block at Eyemojo Comp. High Osan -Ekiti </t>
  </si>
  <si>
    <t xml:space="preserve">Renovation JSS1 Block at Govt. College Ikere-Ekiti </t>
  </si>
  <si>
    <t>Construction of Area Education Office, Efon-Alaaye</t>
  </si>
  <si>
    <t xml:space="preserve">Construction of Area Education Office, Ilawe-Ekiti </t>
  </si>
  <si>
    <t xml:space="preserve">Construction of Area Education Office, Ido-Ekiti </t>
  </si>
  <si>
    <t xml:space="preserve">Renovation of Girls Hostel at Emure-Ekiti </t>
  </si>
  <si>
    <t xml:space="preserve">Renovation of Admin. SSS' Block at Anounciation School Ikere-Ekiti </t>
  </si>
  <si>
    <t>Renovation of SS1 Block at Eyemoju Comp. School Osan-Ekiti</t>
  </si>
  <si>
    <t xml:space="preserve">Renovation of Girls Hostel at Govt. College Ikere-Ekiti </t>
  </si>
  <si>
    <t>Renovation of SS2 block at Govt. College, Ikere-Ekiti</t>
  </si>
  <si>
    <t>Renovation of Tutor General's Office at Ikere-Ekiti</t>
  </si>
  <si>
    <t>Additional work with renovation of Boy's Hostel at Govt College Ado-Ekiti</t>
  </si>
  <si>
    <t>Renovation of Boy's Hostel at Govt College Ado-Ekiti</t>
  </si>
  <si>
    <t xml:space="preserve">Re-Construction of 3 Classroom at AUD Comp High School ado-Ekiti </t>
  </si>
  <si>
    <t xml:space="preserve">Renovation of Science Laboratory Block at osi Comp. High School  </t>
  </si>
  <si>
    <t>Renovation of block of staff quarters at Annouciation School, Ikere-Ekiti</t>
  </si>
  <si>
    <t>Renovation of s block of Staff Quarters at St. Louis Grammar School</t>
  </si>
  <si>
    <t xml:space="preserve">Construction of Area Education office Ido-Ekiti </t>
  </si>
  <si>
    <t>Renovation of SSII block at Eyemojo Comp. High School School. Osan-Ekiti</t>
  </si>
  <si>
    <t>Renovation of Technical block of two Classroom at Eyemojo Comp. High School, Osan-Ekiti</t>
  </si>
  <si>
    <t>Renovation of JSS1 block at Govt. College Ikere-Ekiti</t>
  </si>
  <si>
    <t>Renovation of JSS1 &amp; II block at Annouciation School Ikere-Ekiti</t>
  </si>
  <si>
    <t xml:space="preserve">Construction of a 3 block of Classroom at Ado-Ekiti </t>
  </si>
  <si>
    <t xml:space="preserve">Construction of Area Education Office at Efon Alaaye </t>
  </si>
  <si>
    <t>Renovation of JSSII block at Are/ Afao Comp. High School</t>
  </si>
  <si>
    <t>Reconstruction of a block of three classroom at AUD Compr. High School. Ado-Ekiti</t>
  </si>
  <si>
    <t>Renovation of City Block Hostel and Admin Block at St. Louis, Ikere-Ekiti</t>
  </si>
  <si>
    <t>Renovation of Ogoga Block, JSSI block at Annouciation Ikere (45%)</t>
  </si>
  <si>
    <t>Construction of Area Education Office, Ilawe-Ekiti (45%) Outstanding</t>
  </si>
  <si>
    <t>Renovation of Ijaloke Grammar School Hall Emure-Ekiti</t>
  </si>
  <si>
    <t>Construction of Girls Hostel at Govt Science College, Ayede-Ekiti</t>
  </si>
  <si>
    <t xml:space="preserve">Additional work of the renovation of a block of 4 Science Laboratory at Osi Compr. High School,Osi-Ekiti </t>
  </si>
  <si>
    <t>Renovation of a block of Science Laboratory Osi Compr. High School Osi-Ekiti</t>
  </si>
  <si>
    <t xml:space="preserve">Hurticultural works along Ado-Iker road </t>
  </si>
  <si>
    <t>MIN. OF LANDS</t>
  </si>
  <si>
    <t>GENERAL ADMINISTRATION DEPARTMENT</t>
  </si>
  <si>
    <t>UTILITY SERVICE DEPARTMENT ( GAD)</t>
  </si>
  <si>
    <t>Setting up of Aquaponic system in Ekiti gifted school, Afao</t>
  </si>
  <si>
    <t>Procurement of ICT equipments to schools in Ekiti</t>
  </si>
  <si>
    <t>YESSO</t>
  </si>
  <si>
    <t>Procurement of ICT equipment for use in office</t>
  </si>
  <si>
    <t>NUWSRPS (3RD)</t>
  </si>
  <si>
    <t>Rehabilitation of Ero and Ureje Dams and Replacement of pipelines from Ifaki to Ado</t>
  </si>
  <si>
    <t>EDUCATION TRUST FUND (ETF)</t>
  </si>
  <si>
    <t>Renovation of Schools across the State</t>
  </si>
  <si>
    <t>ACCUMULATED DEP. AS AT 31/12/18</t>
  </si>
  <si>
    <t>Property Plant and Equipment (NBV)</t>
  </si>
  <si>
    <t>Additional Opening Cash Balance from MDAs</t>
  </si>
  <si>
    <t>FEBRUARY</t>
  </si>
  <si>
    <t>APRIL</t>
  </si>
  <si>
    <t>CIVIL SERVAT</t>
  </si>
  <si>
    <t>NUMBER</t>
  </si>
  <si>
    <t>AMOUNT (N)</t>
  </si>
  <si>
    <t>SECONADRY SCHOOLS TEACHERS</t>
  </si>
  <si>
    <t>TOTAL PAYMENT AS AT 31/12/2018      (D)</t>
  </si>
  <si>
    <t>JAN-DEC 2018</t>
  </si>
  <si>
    <t>JAN-DEC  2017</t>
  </si>
  <si>
    <t xml:space="preserve">STATE EMERGENCY MANAGEMENT AGENCY </t>
  </si>
  <si>
    <t xml:space="preserve"> RECONCILED CASH BOOK BALANCES OF MDAs AS AT 31/12/18</t>
  </si>
  <si>
    <t>NOTE 16B:  AMMORTIZATION CHARGES; INTANGIBLE ASSETS</t>
  </si>
  <si>
    <t xml:space="preserve">NOTE 18:  SCHEDULE OF INTANGIBLE ASSETS </t>
  </si>
  <si>
    <t>NOTE 19: SALARIES AND WAGES (ACTUAL CASH PAYMENT)</t>
  </si>
  <si>
    <t>NOTE 20: SOCIAL BENEFITS (ACTUAL CASH PAYMENT)</t>
  </si>
  <si>
    <t>NOTE 21:  PUBLIC DEBT CHARGES</t>
  </si>
  <si>
    <t>NOTE 22: OVERHEAD COST (ACTUAL CASH PAYMENT)</t>
  </si>
  <si>
    <t>NOTE 23: TRANSFER TO OTHER FUNDS (ACTUAL CASH PAYMENT)</t>
  </si>
  <si>
    <t>NOTE 24: SUBVENTION/GRANTS TO TERTIARY INSTITUTIONS AND PARASTALTALS (ACTUAL CASH PAYMENT)</t>
  </si>
  <si>
    <t>TOTAL EXPENDITURE   (B)</t>
  </si>
  <si>
    <t>HOUSE OF ASSEMBLY SERVICE COMMISSION</t>
  </si>
  <si>
    <t>EKITI STATE ROAD MAINTENANCET AGENCY (EKROMA)</t>
  </si>
  <si>
    <t>FIRS TAX LIABILITY REPAYMENT</t>
  </si>
  <si>
    <t>FORENSIC CONSULTANCY</t>
  </si>
  <si>
    <t>EKITI STATE ROAD MAINTENANCE AGENCY (EKROMA)</t>
  </si>
  <si>
    <t>GOVERNOR'S OFFICE ( GAD )</t>
  </si>
  <si>
    <t>UBEC PROJECT (FEDERAL GOVT./WORLD BANK)</t>
  </si>
  <si>
    <t xml:space="preserve">REFUND BY MDAs </t>
  </si>
  <si>
    <t xml:space="preserve"> </t>
  </si>
  <si>
    <t>LEAVE BONUS  (2016)</t>
  </si>
  <si>
    <t>FBN</t>
  </si>
  <si>
    <t>ECO BANK</t>
  </si>
  <si>
    <t>ZENITH</t>
  </si>
  <si>
    <t>KEYSTONE</t>
  </si>
  <si>
    <t xml:space="preserve">ACCESS </t>
  </si>
  <si>
    <t>ACCOUNT NAMES</t>
  </si>
  <si>
    <t>ACCOUNT NO</t>
  </si>
  <si>
    <t>PayDirect Collection</t>
  </si>
  <si>
    <t>Consolidated Revenue</t>
  </si>
  <si>
    <t>ESVL Road Taxes</t>
  </si>
  <si>
    <t>IGR Collection</t>
  </si>
  <si>
    <t xml:space="preserve">IGR Consolidated </t>
  </si>
  <si>
    <t>Drivers Licence</t>
  </si>
  <si>
    <t>TOTAL CASH BOOK BALANCES (A+B+C)</t>
  </si>
  <si>
    <t>TOTAL (A)</t>
  </si>
  <si>
    <t>TOTAL  [C]</t>
  </si>
  <si>
    <t>Decoration of Government House</t>
  </si>
  <si>
    <t>Increase in Advances not Recognised in the Statement of Financial Performance</t>
  </si>
  <si>
    <t>Reduction in the restated opening balance of Domestic Debt</t>
  </si>
  <si>
    <t>011100300200</t>
  </si>
  <si>
    <t>012500500800</t>
  </si>
  <si>
    <t>014000100200</t>
  </si>
  <si>
    <t>011103500200</t>
  </si>
  <si>
    <t>022700600200</t>
  </si>
  <si>
    <t>011101000101</t>
  </si>
  <si>
    <t>022000100300</t>
  </si>
  <si>
    <t>022000700800</t>
  </si>
  <si>
    <t>022000700700</t>
  </si>
  <si>
    <t>023800100400</t>
  </si>
  <si>
    <t>025300100200</t>
  </si>
  <si>
    <t>052100200100</t>
  </si>
  <si>
    <t>052100100400</t>
  </si>
  <si>
    <t>052110200200</t>
  </si>
  <si>
    <t>0514000100200</t>
  </si>
  <si>
    <t>0517005400200</t>
  </si>
  <si>
    <t>0517003000101</t>
  </si>
  <si>
    <t>032600700300</t>
  </si>
  <si>
    <t>012500100300</t>
  </si>
  <si>
    <t>0144000100300</t>
  </si>
  <si>
    <t>OTHER STATUTORY REVENUE</t>
  </si>
  <si>
    <t>Unremitted Taxes (FIRS)</t>
  </si>
  <si>
    <t>OFFICE OF THE DEPUTY GOVERNOR</t>
  </si>
  <si>
    <t>FIRS unremitted tax liability not recognised in 2017 closing balance</t>
  </si>
  <si>
    <t>SNPFS-ADF</t>
  </si>
  <si>
    <t>OPENING BALANCE     (2018 RATE)</t>
  </si>
  <si>
    <t>CLOSING   BALANCE 31/12/18</t>
  </si>
  <si>
    <t>CAPITAL PAYMENT</t>
  </si>
  <si>
    <t>Social Contributions</t>
  </si>
  <si>
    <t>NOTE 19B:  RURAL AND CORE SUBJECT ALLOWANCE FOR TEACHERS</t>
  </si>
  <si>
    <t>NOTE 19C:  SOCIAL CONTRIBUTIONS</t>
  </si>
  <si>
    <t>EKITI STATE PENSION COMMISSION (ACTUARIAL VALUATION)</t>
  </si>
  <si>
    <t>434-004</t>
  </si>
  <si>
    <t>INITIAL BUDGET 2018</t>
  </si>
  <si>
    <t>Transfer to other GovT Entities</t>
  </si>
  <si>
    <t>J</t>
  </si>
  <si>
    <t>Subvention/Grants/Contributions</t>
  </si>
  <si>
    <t>SOCIAL CONTRIBUTION</t>
  </si>
  <si>
    <t>INITIAL BUDGET</t>
  </si>
  <si>
    <t>D=A-B</t>
  </si>
  <si>
    <t xml:space="preserve">Capital Expenditure </t>
  </si>
  <si>
    <t xml:space="preserve">VARIANCE  ON FINAL BUDGET           </t>
  </si>
  <si>
    <t xml:space="preserve">NOTE 25: PURCHASE/CONSTRUCTION OF ASSETS </t>
  </si>
  <si>
    <t>IGR COLLECTION ACCOUNTS BALANCES AS AT 31ST DECEMBER, 2018</t>
  </si>
  <si>
    <t>Transfer from other Govt. Entities</t>
  </si>
  <si>
    <r>
      <t>FUND MANAGEMENT (AG</t>
    </r>
    <r>
      <rPr>
        <sz val="8"/>
        <color theme="1"/>
        <rFont val="Calibri"/>
        <family val="2"/>
      </rPr>
      <t>′S OFFICE)</t>
    </r>
  </si>
  <si>
    <t>PEER REVIEW FORUM FOR HEAD OF SERVICE</t>
  </si>
  <si>
    <t>HOME GROWN SCHOOL FEEDING(MB&amp;EP)</t>
  </si>
  <si>
    <t>PHYSICAL PLANNING AND DEVELOPMENT MATTERS</t>
  </si>
  <si>
    <t>SHIC(MINISTRY OF HEALTH)</t>
  </si>
  <si>
    <t>MEDICAL MISSION(HMB)</t>
  </si>
  <si>
    <t>STATE TEACHING SERVICE COMMISSION HQ</t>
  </si>
  <si>
    <t>NOTE 9: SALARIES AND WAGES</t>
  </si>
  <si>
    <t>NOTE 9B:  RURAL AND CORE SUBJECT ALLOWANCE FOR TEACHERS</t>
  </si>
  <si>
    <t>NOTE 9C:  SOCIAL CONTRIBUTIONS</t>
  </si>
  <si>
    <t>NOTE 9D: PERSONNEL ANALYSIS</t>
  </si>
  <si>
    <t>NOTE 10: SOCIAL BENEFITS</t>
  </si>
  <si>
    <t>NOTE 11:  PUBLIC DEBT CHARGES</t>
  </si>
  <si>
    <t>NOTE 13: TRANSFER TO OTHER FUNDS</t>
  </si>
  <si>
    <t>NOTE 14: SUBVENTION/GRANTS TO TERTIARY INSTITUTIONS AND PARASTALTALS</t>
  </si>
  <si>
    <t>NOTE 15: DEPRECIATION</t>
  </si>
  <si>
    <t>NOTE 15: SCHEDULE OF PROPERTY, PLANT AND EQUIPMENT (PPE)</t>
  </si>
  <si>
    <t>NOTE 16: CAPITAL EXPENDITURE THAT CANNOT BE CLASSIFIED INTO PPE</t>
  </si>
  <si>
    <t>NOTE 17 : RECONCILED ACCOUNTANT-GENERAL'S CASH BOOK BALANCE AS AT 31ST DECEMBER, 2018</t>
  </si>
  <si>
    <t>NOTE 18 : INVENTORIES</t>
  </si>
  <si>
    <t>NOTE 19:  RECEIVABLES</t>
  </si>
  <si>
    <t>NOTE 20:  PREPAYMENTS/ARREARS OF REVENUE</t>
  </si>
  <si>
    <t>NOTE 21: BOND SINKING FUND ACCOUNT</t>
  </si>
  <si>
    <t>NOTE 22: FIXED ASSETS; PROPERTY, PLANT AND EQUIPMENT (PPE)</t>
  </si>
  <si>
    <t>NOTE 23: SCHEDULE OF FIXED ASSETS (WORK IN PROGRESS)</t>
  </si>
  <si>
    <t>NOTE 24: UNREMITTED DEDUCTIONS</t>
  </si>
  <si>
    <t>NOTE 25:  PAYABLES</t>
  </si>
  <si>
    <t>NOTE 26:  ACCRUED EXPENSES</t>
  </si>
  <si>
    <t>NOTE 27:  FACILITY REPAYMENT (FOREIGN LOAN DRAWN DOWN)</t>
  </si>
  <si>
    <t>NOTE 28:  FACILITY REPAYMENT (DOMESTIC LOAN)</t>
  </si>
  <si>
    <t xml:space="preserve"> TOTAL</t>
  </si>
  <si>
    <t>ADD LEAVE BONUS</t>
  </si>
  <si>
    <t>ADD CORPERS ALLOWANCE, REPATRIATION AND LOCUM</t>
  </si>
  <si>
    <t>ANNEXURE III A:  BUDGET SIZE AND PERFORMANCE (CASH BASIS)</t>
  </si>
  <si>
    <t>ANNEXURE III B:  PRIOR YEAR COMPARATIVE ANALYSIS (CASH BASIS)</t>
  </si>
  <si>
    <t>ANNEXURE IV:  SCHEDULE OF BOND REPAYMENT AS AT 31ST DECEMBER 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</si>
</sst>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_-;\-* #,##0.00_-;_-* &quot;-&quot;??_-;_-@_-"/>
    <numFmt numFmtId="165" formatCode="#,##0.00&quot; &quot;;&quot;(&quot;#,##0.00&quot;)&quot;;&quot;-&quot;#&quot; &quot;;&quot; &quot;@&quot; &quot;"/>
    <numFmt numFmtId="166" formatCode="_(* #,##0_);_(* \(#,##0\);_(* &quot;-&quot;??_);_(@_)"/>
    <numFmt numFmtId="167" formatCode="#,##0.00;[Red]#,##0.00"/>
  </numFmts>
  <fonts count="5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  <font>
      <b/>
      <sz val="12"/>
      <color theme="1"/>
      <name val="Calibri"/>
      <family val="2"/>
      <scheme val="minor"/>
    </font>
    <font>
      <b/>
      <strike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b/>
      <sz val="12"/>
      <name val="Calibri"/>
      <family val="2"/>
      <scheme val="minor"/>
    </font>
    <font>
      <b/>
      <sz val="10"/>
      <name val="Arial"/>
      <family val="2"/>
    </font>
    <font>
      <sz val="11"/>
      <color theme="1"/>
      <name val="Liberation Sans"/>
    </font>
    <font>
      <b/>
      <sz val="9"/>
      <name val="Calibri"/>
      <family val="2"/>
      <scheme val="minor"/>
    </font>
    <font>
      <b/>
      <strike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trike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u val="doubleAccounting"/>
      <sz val="11"/>
      <color theme="1"/>
      <name val="Calibri"/>
      <family val="2"/>
      <scheme val="minor"/>
    </font>
    <font>
      <strike/>
      <sz val="12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b/>
      <strike/>
      <sz val="9"/>
      <color theme="1"/>
      <name val="Calibri"/>
      <family val="2"/>
      <scheme val="minor"/>
    </font>
    <font>
      <b/>
      <sz val="12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b/>
      <sz val="14"/>
      <color theme="1"/>
      <name val="Times New Roman"/>
      <family val="1"/>
    </font>
    <font>
      <b/>
      <sz val="12"/>
      <color theme="1"/>
      <name val="Calibri"/>
      <family val="2"/>
    </font>
    <font>
      <b/>
      <sz val="12"/>
      <color theme="1"/>
      <name val="Times New Roman"/>
      <family val="1"/>
    </font>
    <font>
      <sz val="12"/>
      <name val="Calibri"/>
      <family val="2"/>
      <scheme val="minor"/>
    </font>
    <font>
      <b/>
      <sz val="10"/>
      <color theme="1"/>
      <name val="Times New Roman"/>
      <family val="1"/>
    </font>
    <font>
      <u/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</font>
    <font>
      <b/>
      <u/>
      <sz val="14"/>
      <color theme="1"/>
      <name val="Cambria"/>
      <family val="1"/>
      <scheme val="major"/>
    </font>
    <font>
      <b/>
      <strike/>
      <sz val="11"/>
      <name val="Calibri"/>
      <family val="2"/>
      <scheme val="minor"/>
    </font>
    <font>
      <b/>
      <strike/>
      <sz val="12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</font>
    <font>
      <sz val="8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1">
    <xf numFmtId="0" fontId="0" fillId="0" borderId="0"/>
    <xf numFmtId="43" fontId="6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165" fontId="22" fillId="0" borderId="0"/>
    <xf numFmtId="0" fontId="6" fillId="0" borderId="0"/>
    <xf numFmtId="164" fontId="6" fillId="0" borderId="0" applyFont="0" applyFill="0" applyBorder="0" applyAlignment="0" applyProtection="0"/>
    <xf numFmtId="0" fontId="35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8" fillId="0" borderId="0"/>
    <xf numFmtId="0" fontId="6" fillId="0" borderId="0"/>
    <xf numFmtId="0" fontId="6" fillId="0" borderId="0"/>
  </cellStyleXfs>
  <cellXfs count="695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3" fillId="0" borderId="0" xfId="0" applyFont="1"/>
    <xf numFmtId="43" fontId="7" fillId="0" borderId="1" xfId="1" applyFont="1" applyFill="1" applyBorder="1"/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Border="1"/>
    <xf numFmtId="0" fontId="12" fillId="0" borderId="0" xfId="0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11" fillId="0" borderId="0" xfId="0" applyFont="1" applyBorder="1"/>
    <xf numFmtId="43" fontId="15" fillId="0" borderId="1" xfId="1" applyFont="1" applyFill="1" applyBorder="1"/>
    <xf numFmtId="43" fontId="7" fillId="0" borderId="1" xfId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43" fontId="15" fillId="0" borderId="0" xfId="1" applyFont="1" applyFill="1" applyBorder="1"/>
    <xf numFmtId="43" fontId="16" fillId="0" borderId="0" xfId="0" applyNumberFormat="1" applyFont="1" applyBorder="1"/>
    <xf numFmtId="0" fontId="16" fillId="0" borderId="0" xfId="0" applyFont="1" applyBorder="1"/>
    <xf numFmtId="0" fontId="16" fillId="0" borderId="0" xfId="0" applyFont="1"/>
    <xf numFmtId="0" fontId="1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14" fillId="0" borderId="0" xfId="0" applyFont="1"/>
    <xf numFmtId="0" fontId="7" fillId="0" borderId="1" xfId="2" applyFont="1" applyFill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0" fontId="7" fillId="0" borderId="0" xfId="0" applyFont="1" applyBorder="1"/>
    <xf numFmtId="43" fontId="7" fillId="0" borderId="0" xfId="1" applyFont="1" applyFill="1" applyBorder="1"/>
    <xf numFmtId="0" fontId="20" fillId="0" borderId="1" xfId="0" applyFont="1" applyBorder="1"/>
    <xf numFmtId="0" fontId="21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6" fillId="0" borderId="0" xfId="0" applyFont="1" applyAlignment="1">
      <alignment horizontal="center" wrapText="1"/>
    </xf>
    <xf numFmtId="0" fontId="7" fillId="0" borderId="1" xfId="2" applyFont="1" applyFill="1" applyBorder="1" applyAlignment="1">
      <alignment horizontal="left" wrapText="1"/>
    </xf>
    <xf numFmtId="0" fontId="12" fillId="0" borderId="0" xfId="0" applyFont="1" applyAlignment="1">
      <alignment horizontal="left"/>
    </xf>
    <xf numFmtId="0" fontId="12" fillId="0" borderId="0" xfId="1" applyNumberFormat="1" applyFont="1" applyAlignment="1">
      <alignment horizontal="center"/>
    </xf>
    <xf numFmtId="43" fontId="0" fillId="0" borderId="0" xfId="1" applyFont="1"/>
    <xf numFmtId="0" fontId="7" fillId="0" borderId="0" xfId="2" applyFont="1" applyFill="1" applyBorder="1" applyAlignment="1">
      <alignment horizontal="center" wrapText="1"/>
    </xf>
    <xf numFmtId="49" fontId="7" fillId="0" borderId="1" xfId="1" applyNumberFormat="1" applyFont="1" applyFill="1" applyBorder="1" applyAlignment="1">
      <alignment horizontal="center"/>
    </xf>
    <xf numFmtId="43" fontId="23" fillId="0" borderId="1" xfId="1" applyFont="1" applyBorder="1"/>
    <xf numFmtId="0" fontId="0" fillId="0" borderId="0" xfId="0" applyFont="1"/>
    <xf numFmtId="0" fontId="13" fillId="0" borderId="1" xfId="2" applyFont="1" applyFill="1" applyBorder="1" applyAlignment="1">
      <alignment horizontal="left" wrapText="1"/>
    </xf>
    <xf numFmtId="43" fontId="15" fillId="0" borderId="1" xfId="1" applyFont="1" applyBorder="1"/>
    <xf numFmtId="0" fontId="28" fillId="0" borderId="0" xfId="0" applyFont="1"/>
    <xf numFmtId="0" fontId="25" fillId="0" borderId="0" xfId="0" applyFont="1"/>
    <xf numFmtId="43" fontId="30" fillId="0" borderId="0" xfId="0" applyNumberFormat="1" applyFont="1" applyBorder="1"/>
    <xf numFmtId="0" fontId="15" fillId="0" borderId="1" xfId="0" applyFont="1" applyBorder="1" applyAlignment="1">
      <alignment wrapText="1"/>
    </xf>
    <xf numFmtId="43" fontId="15" fillId="0" borderId="1" xfId="3" applyFont="1" applyBorder="1" applyAlignment="1">
      <alignment horizontal="left" wrapText="1"/>
    </xf>
    <xf numFmtId="0" fontId="7" fillId="0" borderId="1" xfId="2" applyNumberFormat="1" applyFont="1" applyFill="1" applyBorder="1" applyAlignment="1">
      <alignment horizontal="center"/>
    </xf>
    <xf numFmtId="0" fontId="7" fillId="0" borderId="1" xfId="2" applyFont="1" applyFill="1" applyBorder="1" applyAlignment="1">
      <alignment wrapText="1"/>
    </xf>
    <xf numFmtId="0" fontId="7" fillId="0" borderId="1" xfId="2" applyFont="1" applyFill="1" applyBorder="1" applyAlignment="1">
      <alignment horizontal="center"/>
    </xf>
    <xf numFmtId="0" fontId="7" fillId="0" borderId="7" xfId="2" applyFont="1" applyFill="1" applyBorder="1" applyAlignment="1">
      <alignment horizontal="center"/>
    </xf>
    <xf numFmtId="43" fontId="16" fillId="0" borderId="0" xfId="1" applyNumberFormat="1" applyFont="1" applyBorder="1"/>
    <xf numFmtId="43" fontId="13" fillId="0" borderId="0" xfId="1" applyFont="1" applyFill="1" applyBorder="1"/>
    <xf numFmtId="43" fontId="23" fillId="0" borderId="0" xfId="1" applyFont="1" applyFill="1" applyBorder="1"/>
    <xf numFmtId="0" fontId="14" fillId="0" borderId="0" xfId="0" applyFont="1" applyBorder="1"/>
    <xf numFmtId="43" fontId="1" fillId="0" borderId="0" xfId="0" applyNumberFormat="1" applyFont="1"/>
    <xf numFmtId="43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43" fontId="15" fillId="0" borderId="9" xfId="3" applyFont="1" applyBorder="1" applyAlignment="1">
      <alignment horizontal="left" wrapText="1"/>
    </xf>
    <xf numFmtId="0" fontId="25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0" fillId="0" borderId="0" xfId="0"/>
    <xf numFmtId="0" fontId="16" fillId="0" borderId="1" xfId="0" applyFont="1" applyFill="1" applyBorder="1"/>
    <xf numFmtId="0" fontId="16" fillId="0" borderId="1" xfId="0" applyFont="1" applyFill="1" applyBorder="1" applyAlignment="1">
      <alignment horizontal="center" wrapText="1"/>
    </xf>
    <xf numFmtId="0" fontId="20" fillId="0" borderId="0" xfId="0" applyFont="1" applyBorder="1"/>
    <xf numFmtId="43" fontId="23" fillId="0" borderId="0" xfId="1" applyFont="1" applyBorder="1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6" fillId="0" borderId="1" xfId="0" applyFont="1" applyBorder="1"/>
    <xf numFmtId="0" fontId="14" fillId="0" borderId="1" xfId="0" applyFont="1" applyBorder="1"/>
    <xf numFmtId="43" fontId="16" fillId="0" borderId="1" xfId="1" applyFont="1" applyBorder="1"/>
    <xf numFmtId="0" fontId="14" fillId="0" borderId="1" xfId="0" applyFont="1" applyBorder="1" applyAlignment="1">
      <alignment horizontal="right"/>
    </xf>
    <xf numFmtId="0" fontId="39" fillId="0" borderId="1" xfId="0" applyFont="1" applyBorder="1" applyAlignment="1">
      <alignment horizontal="center"/>
    </xf>
    <xf numFmtId="43" fontId="26" fillId="0" borderId="1" xfId="1" applyFont="1" applyFill="1" applyBorder="1"/>
    <xf numFmtId="0" fontId="15" fillId="0" borderId="0" xfId="0" applyFont="1" applyBorder="1"/>
    <xf numFmtId="0" fontId="14" fillId="0" borderId="0" xfId="0" applyFont="1" applyBorder="1" applyAlignment="1">
      <alignment horizontal="right"/>
    </xf>
    <xf numFmtId="0" fontId="0" fillId="0" borderId="0" xfId="0"/>
    <xf numFmtId="165" fontId="41" fillId="0" borderId="0" xfId="7" applyFont="1" applyFill="1" applyBorder="1" applyAlignment="1" applyProtection="1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43" fillId="0" borderId="0" xfId="0" applyFont="1" applyAlignment="1">
      <alignment vertical="center"/>
    </xf>
    <xf numFmtId="0" fontId="0" fillId="0" borderId="0" xfId="0"/>
    <xf numFmtId="0" fontId="0" fillId="0" borderId="0" xfId="0"/>
    <xf numFmtId="43" fontId="46" fillId="0" borderId="1" xfId="1" applyFont="1" applyFill="1" applyBorder="1"/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12" xfId="0" applyFont="1" applyFill="1" applyBorder="1" applyAlignment="1">
      <alignment horizontal="left" wrapText="1"/>
    </xf>
    <xf numFmtId="43" fontId="12" fillId="0" borderId="0" xfId="0" applyNumberFormat="1" applyFont="1"/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0" fillId="0" borderId="0" xfId="0"/>
    <xf numFmtId="0" fontId="48" fillId="0" borderId="0" xfId="0" applyFont="1" applyBorder="1" applyAlignment="1">
      <alignment horizontal="center"/>
    </xf>
    <xf numFmtId="43" fontId="7" fillId="0" borderId="16" xfId="1" applyFont="1" applyFill="1" applyBorder="1"/>
    <xf numFmtId="43" fontId="7" fillId="0" borderId="20" xfId="1" applyFont="1" applyFill="1" applyBorder="1"/>
    <xf numFmtId="43" fontId="8" fillId="0" borderId="0" xfId="1" applyFont="1" applyFill="1" applyBorder="1"/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167" fontId="7" fillId="0" borderId="1" xfId="0" applyNumberFormat="1" applyFont="1" applyFill="1" applyBorder="1"/>
    <xf numFmtId="0" fontId="7" fillId="0" borderId="1" xfId="0" applyFont="1" applyFill="1" applyBorder="1"/>
    <xf numFmtId="0" fontId="0" fillId="0" borderId="0" xfId="0"/>
    <xf numFmtId="0" fontId="0" fillId="0" borderId="0" xfId="0"/>
    <xf numFmtId="43" fontId="16" fillId="0" borderId="1" xfId="1" applyFont="1" applyFill="1" applyBorder="1"/>
    <xf numFmtId="43" fontId="16" fillId="0" borderId="0" xfId="1" applyFont="1" applyFill="1"/>
    <xf numFmtId="43" fontId="16" fillId="0" borderId="1" xfId="1" applyFont="1" applyFill="1" applyBorder="1" applyAlignment="1">
      <alignment horizontal="center"/>
    </xf>
    <xf numFmtId="43" fontId="14" fillId="0" borderId="1" xfId="1" applyFont="1" applyFill="1" applyBorder="1"/>
    <xf numFmtId="0" fontId="11" fillId="0" borderId="1" xfId="0" applyFont="1" applyFill="1" applyBorder="1" applyAlignment="1">
      <alignment horizontal="center"/>
    </xf>
    <xf numFmtId="0" fontId="0" fillId="0" borderId="0" xfId="0" applyFill="1"/>
    <xf numFmtId="0" fontId="12" fillId="0" borderId="1" xfId="0" applyFont="1" applyFill="1" applyBorder="1" applyAlignment="1">
      <alignment horizontal="center"/>
    </xf>
    <xf numFmtId="0" fontId="25" fillId="0" borderId="1" xfId="0" applyFont="1" applyFill="1" applyBorder="1" applyAlignment="1">
      <alignment wrapText="1"/>
    </xf>
    <xf numFmtId="43" fontId="25" fillId="0" borderId="1" xfId="1" applyFont="1" applyFill="1" applyBorder="1" applyAlignment="1"/>
    <xf numFmtId="43" fontId="16" fillId="0" borderId="0" xfId="0" applyNumberFormat="1" applyFont="1"/>
    <xf numFmtId="43" fontId="12" fillId="0" borderId="0" xfId="1" applyFont="1" applyFill="1"/>
    <xf numFmtId="43" fontId="12" fillId="0" borderId="0" xfId="1" applyFont="1" applyFill="1" applyBorder="1"/>
    <xf numFmtId="0" fontId="11" fillId="0" borderId="0" xfId="0" applyFont="1" applyFill="1" applyBorder="1"/>
    <xf numFmtId="43" fontId="12" fillId="0" borderId="0" xfId="0" applyNumberFormat="1" applyFont="1" applyFill="1" applyAlignment="1">
      <alignment horizontal="center"/>
    </xf>
    <xf numFmtId="43" fontId="12" fillId="0" borderId="0" xfId="1" applyFont="1" applyFill="1" applyAlignment="1">
      <alignment horizontal="center"/>
    </xf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43" fontId="1" fillId="0" borderId="1" xfId="1" applyFont="1" applyFill="1" applyBorder="1" applyAlignment="1">
      <alignment horizontal="center"/>
    </xf>
    <xf numFmtId="43" fontId="1" fillId="0" borderId="1" xfId="1" applyFont="1" applyFill="1" applyBorder="1"/>
    <xf numFmtId="0" fontId="0" fillId="0" borderId="0" xfId="0"/>
    <xf numFmtId="0" fontId="43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8" fillId="0" borderId="1" xfId="0" applyFont="1" applyFill="1" applyBorder="1" applyAlignment="1">
      <alignment horizontal="left" wrapText="1"/>
    </xf>
    <xf numFmtId="43" fontId="11" fillId="0" borderId="1" xfId="1" applyFont="1" applyFill="1" applyBorder="1" applyAlignment="1">
      <alignment horizontal="left" wrapText="1"/>
    </xf>
    <xf numFmtId="43" fontId="12" fillId="0" borderId="1" xfId="0" applyNumberFormat="1" applyFont="1" applyFill="1" applyBorder="1"/>
    <xf numFmtId="43" fontId="7" fillId="0" borderId="1" xfId="1" applyFont="1" applyFill="1" applyBorder="1" applyAlignment="1">
      <alignment wrapText="1"/>
    </xf>
    <xf numFmtId="0" fontId="7" fillId="0" borderId="1" xfId="1" applyNumberFormat="1" applyFont="1" applyFill="1" applyBorder="1" applyAlignment="1">
      <alignment horizontal="center" wrapText="1"/>
    </xf>
    <xf numFmtId="0" fontId="26" fillId="0" borderId="1" xfId="0" applyFont="1" applyFill="1" applyBorder="1" applyAlignment="1">
      <alignment wrapText="1"/>
    </xf>
    <xf numFmtId="164" fontId="15" fillId="0" borderId="1" xfId="4" applyFont="1" applyFill="1" applyBorder="1"/>
    <xf numFmtId="0" fontId="20" fillId="0" borderId="0" xfId="0" applyFont="1" applyFill="1" applyBorder="1"/>
    <xf numFmtId="43" fontId="3" fillId="0" borderId="0" xfId="1" applyFont="1" applyFill="1" applyBorder="1"/>
    <xf numFmtId="0" fontId="1" fillId="0" borderId="0" xfId="0" applyFont="1" applyFill="1"/>
    <xf numFmtId="0" fontId="12" fillId="0" borderId="0" xfId="0" applyFont="1" applyFill="1" applyAlignment="1">
      <alignment horizontal="center"/>
    </xf>
    <xf numFmtId="0" fontId="12" fillId="0" borderId="0" xfId="0" applyFont="1" applyFill="1"/>
    <xf numFmtId="0" fontId="3" fillId="0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0" fillId="0" borderId="0" xfId="0"/>
    <xf numFmtId="49" fontId="7" fillId="0" borderId="1" xfId="2" applyNumberFormat="1" applyFont="1" applyFill="1" applyBorder="1" applyAlignment="1">
      <alignment horizontal="center"/>
    </xf>
    <xf numFmtId="49" fontId="7" fillId="0" borderId="1" xfId="2" applyNumberFormat="1" applyFont="1" applyFill="1" applyBorder="1" applyAlignment="1">
      <alignment horizontal="center" wrapText="1"/>
    </xf>
    <xf numFmtId="0" fontId="17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44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0" fillId="0" borderId="1" xfId="0" applyFill="1" applyBorder="1"/>
    <xf numFmtId="0" fontId="5" fillId="0" borderId="1" xfId="0" applyFont="1" applyFill="1" applyBorder="1"/>
    <xf numFmtId="0" fontId="0" fillId="0" borderId="1" xfId="0" applyFill="1" applyBorder="1" applyAlignment="1">
      <alignment horizontal="center"/>
    </xf>
    <xf numFmtId="43" fontId="0" fillId="0" borderId="1" xfId="1" applyFont="1" applyFill="1" applyBorder="1"/>
    <xf numFmtId="43" fontId="0" fillId="0" borderId="1" xfId="0" applyNumberFormat="1" applyFill="1" applyBorder="1"/>
    <xf numFmtId="43" fontId="1" fillId="0" borderId="1" xfId="0" applyNumberFormat="1" applyFont="1" applyFill="1" applyBorder="1"/>
    <xf numFmtId="0" fontId="0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0" fillId="0" borderId="0" xfId="0" applyFill="1" applyAlignment="1">
      <alignment horizontal="center"/>
    </xf>
    <xf numFmtId="14" fontId="1" fillId="0" borderId="1" xfId="0" applyNumberFormat="1" applyFont="1" applyFill="1" applyBorder="1" applyAlignment="1">
      <alignment horizontal="center" wrapText="1"/>
    </xf>
    <xf numFmtId="43" fontId="0" fillId="0" borderId="1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right"/>
    </xf>
    <xf numFmtId="43" fontId="0" fillId="0" borderId="1" xfId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43" fontId="31" fillId="0" borderId="1" xfId="1" applyFont="1" applyFill="1" applyBorder="1"/>
    <xf numFmtId="43" fontId="6" fillId="0" borderId="1" xfId="1" applyFont="1" applyFill="1" applyBorder="1" applyAlignment="1">
      <alignment horizontal="center"/>
    </xf>
    <xf numFmtId="43" fontId="6" fillId="0" borderId="1" xfId="1" applyFont="1" applyFill="1" applyBorder="1"/>
    <xf numFmtId="43" fontId="0" fillId="0" borderId="0" xfId="1" applyFont="1" applyFill="1"/>
    <xf numFmtId="0" fontId="0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43" fontId="0" fillId="0" borderId="0" xfId="1" applyFont="1" applyFill="1" applyBorder="1"/>
    <xf numFmtId="43" fontId="0" fillId="0" borderId="0" xfId="0" applyNumberFormat="1" applyFill="1" applyBorder="1"/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wrapText="1"/>
    </xf>
    <xf numFmtId="0" fontId="0" fillId="0" borderId="0" xfId="0" applyFont="1" applyFill="1" applyAlignment="1">
      <alignment wrapText="1"/>
    </xf>
    <xf numFmtId="0" fontId="0" fillId="0" borderId="1" xfId="0" applyFill="1" applyBorder="1" applyAlignment="1">
      <alignment wrapText="1"/>
    </xf>
    <xf numFmtId="0" fontId="9" fillId="0" borderId="1" xfId="0" applyFont="1" applyFill="1" applyBorder="1" applyAlignment="1">
      <alignment horizontal="center"/>
    </xf>
    <xf numFmtId="43" fontId="0" fillId="0" borderId="0" xfId="0" applyNumberFormat="1" applyFill="1"/>
    <xf numFmtId="0" fontId="3" fillId="0" borderId="24" xfId="0" applyFont="1" applyFill="1" applyBorder="1" applyAlignment="1">
      <alignment horizontal="center" wrapText="1"/>
    </xf>
    <xf numFmtId="0" fontId="9" fillId="0" borderId="2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20" xfId="0" applyFont="1" applyFill="1" applyBorder="1" applyAlignment="1">
      <alignment horizontal="center"/>
    </xf>
    <xf numFmtId="0" fontId="9" fillId="0" borderId="25" xfId="0" applyFont="1" applyFill="1" applyBorder="1"/>
    <xf numFmtId="0" fontId="44" fillId="0" borderId="16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7" fillId="0" borderId="25" xfId="0" applyFont="1" applyFill="1" applyBorder="1"/>
    <xf numFmtId="43" fontId="12" fillId="0" borderId="20" xfId="0" applyNumberFormat="1" applyFont="1" applyFill="1" applyBorder="1" applyAlignment="1">
      <alignment horizontal="center"/>
    </xf>
    <xf numFmtId="43" fontId="12" fillId="0" borderId="20" xfId="0" applyNumberFormat="1" applyFont="1" applyFill="1" applyBorder="1"/>
    <xf numFmtId="0" fontId="11" fillId="0" borderId="26" xfId="0" applyFont="1" applyFill="1" applyBorder="1" applyAlignment="1">
      <alignment horizontal="left"/>
    </xf>
    <xf numFmtId="43" fontId="11" fillId="0" borderId="21" xfId="0" applyNumberFormat="1" applyFont="1" applyFill="1" applyBorder="1" applyAlignment="1">
      <alignment horizontal="left"/>
    </xf>
    <xf numFmtId="43" fontId="11" fillId="0" borderId="22" xfId="0" applyNumberFormat="1" applyFont="1" applyFill="1" applyBorder="1" applyAlignment="1">
      <alignment horizontal="left"/>
    </xf>
    <xf numFmtId="43" fontId="11" fillId="0" borderId="23" xfId="0" applyNumberFormat="1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1" fillId="0" borderId="24" xfId="0" applyFont="1" applyFill="1" applyBorder="1"/>
    <xf numFmtId="0" fontId="0" fillId="0" borderId="25" xfId="0" applyFont="1" applyFill="1" applyBorder="1"/>
    <xf numFmtId="0" fontId="1" fillId="0" borderId="16" xfId="0" applyFont="1" applyFill="1" applyBorder="1" applyAlignment="1">
      <alignment horizontal="center" wrapText="1"/>
    </xf>
    <xf numFmtId="0" fontId="1" fillId="0" borderId="20" xfId="0" applyFont="1" applyFill="1" applyBorder="1" applyAlignment="1">
      <alignment horizontal="center" wrapText="1"/>
    </xf>
    <xf numFmtId="0" fontId="8" fillId="0" borderId="25" xfId="0" applyFont="1" applyFill="1" applyBorder="1"/>
    <xf numFmtId="0" fontId="1" fillId="0" borderId="26" xfId="0" applyFont="1" applyFill="1" applyBorder="1" applyAlignment="1">
      <alignment horizontal="left"/>
    </xf>
    <xf numFmtId="0" fontId="0" fillId="0" borderId="0" xfId="0" applyFont="1" applyFill="1" applyBorder="1"/>
    <xf numFmtId="0" fontId="8" fillId="0" borderId="1" xfId="0" applyFont="1" applyFill="1" applyBorder="1"/>
    <xf numFmtId="43" fontId="1" fillId="0" borderId="1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/>
    <xf numFmtId="0" fontId="11" fillId="0" borderId="1" xfId="0" applyFont="1" applyFill="1" applyBorder="1"/>
    <xf numFmtId="0" fontId="13" fillId="0" borderId="1" xfId="0" applyFont="1" applyFill="1" applyBorder="1" applyAlignment="1">
      <alignment horizontal="center" wrapText="1"/>
    </xf>
    <xf numFmtId="43" fontId="13" fillId="0" borderId="1" xfId="1" applyFont="1" applyFill="1" applyBorder="1" applyAlignment="1">
      <alignment horizontal="center" wrapText="1"/>
    </xf>
    <xf numFmtId="43" fontId="13" fillId="0" borderId="1" xfId="1" applyFont="1" applyFill="1" applyBorder="1" applyAlignment="1">
      <alignment horizontal="center"/>
    </xf>
    <xf numFmtId="43" fontId="10" fillId="0" borderId="1" xfId="1" applyFont="1" applyFill="1" applyBorder="1" applyAlignment="1">
      <alignment horizontal="center" wrapText="1"/>
    </xf>
    <xf numFmtId="0" fontId="9" fillId="0" borderId="1" xfId="0" applyFont="1" applyFill="1" applyBorder="1"/>
    <xf numFmtId="43" fontId="15" fillId="0" borderId="1" xfId="1" applyFont="1" applyFill="1" applyBorder="1" applyAlignment="1"/>
    <xf numFmtId="43" fontId="16" fillId="0" borderId="1" xfId="0" applyNumberFormat="1" applyFont="1" applyFill="1" applyBorder="1"/>
    <xf numFmtId="43" fontId="14" fillId="0" borderId="1" xfId="0" applyNumberFormat="1" applyFont="1" applyFill="1" applyBorder="1" applyAlignment="1">
      <alignment horizontal="left"/>
    </xf>
    <xf numFmtId="0" fontId="12" fillId="0" borderId="0" xfId="0" applyFont="1" applyFill="1" applyBorder="1"/>
    <xf numFmtId="0" fontId="12" fillId="0" borderId="0" xfId="0" applyFont="1" applyFill="1" applyBorder="1" applyAlignment="1">
      <alignment horizontal="center"/>
    </xf>
    <xf numFmtId="43" fontId="12" fillId="0" borderId="0" xfId="0" applyNumberFormat="1" applyFont="1" applyFill="1" applyBorder="1"/>
    <xf numFmtId="0" fontId="3" fillId="0" borderId="1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43" fontId="3" fillId="0" borderId="1" xfId="1" applyFont="1" applyFill="1" applyBorder="1" applyAlignment="1">
      <alignment horizontal="center" wrapText="1"/>
    </xf>
    <xf numFmtId="0" fontId="9" fillId="0" borderId="0" xfId="0" applyFont="1" applyFill="1" applyAlignment="1">
      <alignment horizontal="center"/>
    </xf>
    <xf numFmtId="0" fontId="7" fillId="0" borderId="1" xfId="1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0" fontId="12" fillId="0" borderId="1" xfId="1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/>
    </xf>
    <xf numFmtId="0" fontId="16" fillId="0" borderId="0" xfId="0" applyFont="1" applyFill="1" applyBorder="1"/>
    <xf numFmtId="43" fontId="12" fillId="0" borderId="1" xfId="1" applyFont="1" applyFill="1" applyBorder="1" applyAlignment="1">
      <alignment horizontal="center"/>
    </xf>
    <xf numFmtId="0" fontId="16" fillId="0" borderId="0" xfId="0" applyFont="1" applyFill="1"/>
    <xf numFmtId="43" fontId="11" fillId="0" borderId="1" xfId="1" applyFont="1" applyFill="1" applyBorder="1" applyAlignment="1">
      <alignment horizontal="center"/>
    </xf>
    <xf numFmtId="0" fontId="12" fillId="0" borderId="0" xfId="1" applyNumberFormat="1" applyFont="1" applyFill="1" applyAlignment="1">
      <alignment horizontal="center"/>
    </xf>
    <xf numFmtId="0" fontId="12" fillId="0" borderId="0" xfId="0" applyFont="1" applyFill="1" applyAlignment="1">
      <alignment horizontal="left"/>
    </xf>
    <xf numFmtId="0" fontId="43" fillId="0" borderId="0" xfId="0" applyFont="1" applyFill="1" applyAlignment="1">
      <alignment horizontal="center" vertical="center"/>
    </xf>
    <xf numFmtId="0" fontId="4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/>
    </xf>
    <xf numFmtId="43" fontId="4" fillId="0" borderId="1" xfId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wrapText="1"/>
    </xf>
    <xf numFmtId="49" fontId="12" fillId="0" borderId="1" xfId="0" applyNumberFormat="1" applyFont="1" applyFill="1" applyBorder="1" applyAlignment="1">
      <alignment horizontal="center"/>
    </xf>
    <xf numFmtId="43" fontId="12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 wrapText="1"/>
    </xf>
    <xf numFmtId="43" fontId="12" fillId="0" borderId="1" xfId="1" applyFont="1" applyFill="1" applyBorder="1" applyAlignment="1">
      <alignment horizontal="left"/>
    </xf>
    <xf numFmtId="49" fontId="12" fillId="0" borderId="1" xfId="0" applyNumberFormat="1" applyFont="1" applyFill="1" applyBorder="1" applyAlignment="1">
      <alignment horizontal="center" wrapText="1"/>
    </xf>
    <xf numFmtId="43" fontId="12" fillId="0" borderId="1" xfId="1" applyFont="1" applyFill="1" applyBorder="1" applyAlignment="1">
      <alignment horizontal="center" wrapText="1"/>
    </xf>
    <xf numFmtId="43" fontId="0" fillId="0" borderId="0" xfId="1" applyFont="1" applyFill="1" applyAlignment="1">
      <alignment horizontal="center"/>
    </xf>
    <xf numFmtId="0" fontId="3" fillId="0" borderId="0" xfId="0" applyFont="1" applyFill="1"/>
    <xf numFmtId="49" fontId="3" fillId="0" borderId="1" xfId="0" applyNumberFormat="1" applyFont="1" applyFill="1" applyBorder="1" applyAlignment="1">
      <alignment horizontal="center"/>
    </xf>
    <xf numFmtId="43" fontId="3" fillId="0" borderId="1" xfId="1" applyFont="1" applyFill="1" applyBorder="1" applyAlignment="1">
      <alignment horizontal="center"/>
    </xf>
    <xf numFmtId="0" fontId="0" fillId="0" borderId="0" xfId="0" applyFill="1" applyAlignment="1">
      <alignment horizontal="left"/>
    </xf>
    <xf numFmtId="49" fontId="0" fillId="0" borderId="0" xfId="0" applyNumberFormat="1" applyFill="1" applyAlignment="1">
      <alignment horizontal="center"/>
    </xf>
    <xf numFmtId="43" fontId="9" fillId="0" borderId="1" xfId="1" applyFont="1" applyFill="1" applyBorder="1" applyAlignment="1">
      <alignment horizontal="center"/>
    </xf>
    <xf numFmtId="43" fontId="9" fillId="0" borderId="1" xfId="0" applyNumberFormat="1" applyFont="1" applyFill="1" applyBorder="1" applyAlignment="1">
      <alignment horizontal="center"/>
    </xf>
    <xf numFmtId="43" fontId="9" fillId="0" borderId="0" xfId="1" applyFont="1" applyFill="1"/>
    <xf numFmtId="43" fontId="3" fillId="0" borderId="1" xfId="0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wrapText="1"/>
    </xf>
    <xf numFmtId="0" fontId="13" fillId="0" borderId="1" xfId="0" applyFont="1" applyFill="1" applyBorder="1"/>
    <xf numFmtId="43" fontId="13" fillId="0" borderId="1" xfId="1" applyFont="1" applyFill="1" applyBorder="1"/>
    <xf numFmtId="0" fontId="7" fillId="0" borderId="0" xfId="0" applyFont="1" applyFill="1" applyBorder="1" applyAlignment="1">
      <alignment horizontal="center"/>
    </xf>
    <xf numFmtId="0" fontId="13" fillId="0" borderId="0" xfId="0" applyFont="1" applyFill="1" applyBorder="1"/>
    <xf numFmtId="43" fontId="11" fillId="0" borderId="1" xfId="1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center"/>
    </xf>
    <xf numFmtId="0" fontId="11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11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wrapText="1"/>
    </xf>
    <xf numFmtId="43" fontId="11" fillId="0" borderId="1" xfId="1" applyFont="1" applyFill="1" applyBorder="1" applyAlignment="1">
      <alignment horizontal="center" wrapText="1"/>
    </xf>
    <xf numFmtId="43" fontId="13" fillId="0" borderId="0" xfId="1" applyFont="1" applyFill="1" applyBorder="1" applyAlignment="1">
      <alignment horizontal="center"/>
    </xf>
    <xf numFmtId="43" fontId="13" fillId="0" borderId="0" xfId="1" applyFont="1" applyFill="1" applyBorder="1" applyAlignment="1">
      <alignment horizontal="center" wrapText="1"/>
    </xf>
    <xf numFmtId="43" fontId="10" fillId="0" borderId="0" xfId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28" fillId="0" borderId="1" xfId="0" applyFont="1" applyFill="1" applyBorder="1" applyAlignment="1">
      <alignment wrapText="1"/>
    </xf>
    <xf numFmtId="0" fontId="26" fillId="0" borderId="1" xfId="2" applyFont="1" applyFill="1" applyBorder="1" applyAlignment="1">
      <alignment wrapText="1"/>
    </xf>
    <xf numFmtId="43" fontId="7" fillId="0" borderId="1" xfId="3" applyFont="1" applyFill="1" applyBorder="1"/>
    <xf numFmtId="43" fontId="16" fillId="0" borderId="0" xfId="0" applyNumberFormat="1" applyFont="1" applyFill="1" applyBorder="1"/>
    <xf numFmtId="43" fontId="7" fillId="0" borderId="1" xfId="2" applyNumberFormat="1" applyFont="1" applyFill="1" applyBorder="1"/>
    <xf numFmtId="0" fontId="26" fillId="0" borderId="2" xfId="2" applyFont="1" applyFill="1" applyBorder="1" applyAlignment="1">
      <alignment wrapText="1"/>
    </xf>
    <xf numFmtId="43" fontId="14" fillId="0" borderId="0" xfId="0" applyNumberFormat="1" applyFont="1" applyFill="1" applyBorder="1" applyAlignment="1">
      <alignment horizontal="left"/>
    </xf>
    <xf numFmtId="0" fontId="26" fillId="0" borderId="6" xfId="2" applyFont="1" applyFill="1" applyBorder="1" applyAlignment="1">
      <alignment wrapText="1"/>
    </xf>
    <xf numFmtId="0" fontId="12" fillId="0" borderId="1" xfId="0" applyFont="1" applyFill="1" applyBorder="1"/>
    <xf numFmtId="0" fontId="28" fillId="0" borderId="1" xfId="0" applyFont="1" applyFill="1" applyBorder="1" applyAlignment="1">
      <alignment horizontal="center"/>
    </xf>
    <xf numFmtId="43" fontId="11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right"/>
    </xf>
    <xf numFmtId="164" fontId="27" fillId="0" borderId="1" xfId="4" applyFont="1" applyFill="1" applyBorder="1" applyAlignment="1">
      <alignment horizontal="center"/>
    </xf>
    <xf numFmtId="164" fontId="7" fillId="0" borderId="1" xfId="4" applyFont="1" applyFill="1" applyBorder="1" applyAlignment="1">
      <alignment horizontal="center"/>
    </xf>
    <xf numFmtId="164" fontId="7" fillId="0" borderId="1" xfId="4" applyFont="1" applyFill="1" applyBorder="1"/>
    <xf numFmtId="164" fontId="26" fillId="0" borderId="1" xfId="4" applyFont="1" applyFill="1" applyBorder="1"/>
    <xf numFmtId="164" fontId="11" fillId="0" borderId="1" xfId="0" applyNumberFormat="1" applyFont="1" applyFill="1" applyBorder="1" applyAlignment="1">
      <alignment horizontal="center"/>
    </xf>
    <xf numFmtId="0" fontId="27" fillId="0" borderId="5" xfId="2" applyFont="1" applyFill="1" applyBorder="1" applyAlignment="1">
      <alignment horizontal="center"/>
    </xf>
    <xf numFmtId="0" fontId="27" fillId="0" borderId="1" xfId="2" applyFont="1" applyFill="1" applyBorder="1" applyAlignment="1">
      <alignment horizontal="center"/>
    </xf>
    <xf numFmtId="43" fontId="7" fillId="0" borderId="2" xfId="2" applyNumberFormat="1" applyFont="1" applyFill="1" applyBorder="1"/>
    <xf numFmtId="43" fontId="12" fillId="0" borderId="1" xfId="1" applyFont="1" applyFill="1" applyBorder="1"/>
    <xf numFmtId="0" fontId="25" fillId="0" borderId="1" xfId="0" applyFont="1" applyFill="1" applyBorder="1" applyAlignment="1">
      <alignment horizontal="center"/>
    </xf>
    <xf numFmtId="0" fontId="26" fillId="0" borderId="1" xfId="2" applyFont="1" applyFill="1" applyBorder="1"/>
    <xf numFmtId="0" fontId="27" fillId="0" borderId="1" xfId="2" applyFont="1" applyFill="1" applyBorder="1"/>
    <xf numFmtId="0" fontId="27" fillId="0" borderId="2" xfId="2" applyFont="1" applyFill="1" applyBorder="1"/>
    <xf numFmtId="43" fontId="11" fillId="0" borderId="2" xfId="0" applyNumberFormat="1" applyFont="1" applyFill="1" applyBorder="1" applyAlignment="1">
      <alignment horizontal="center"/>
    </xf>
    <xf numFmtId="0" fontId="26" fillId="0" borderId="2" xfId="2" applyFont="1" applyFill="1" applyBorder="1" applyAlignment="1">
      <alignment horizontal="left" wrapText="1"/>
    </xf>
    <xf numFmtId="0" fontId="25" fillId="0" borderId="1" xfId="0" applyFont="1" applyFill="1" applyBorder="1" applyAlignment="1">
      <alignment horizontal="left"/>
    </xf>
    <xf numFmtId="0" fontId="28" fillId="0" borderId="1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43" fontId="11" fillId="0" borderId="0" xfId="0" applyNumberFormat="1" applyFont="1" applyFill="1" applyBorder="1" applyAlignment="1">
      <alignment horizontal="center"/>
    </xf>
    <xf numFmtId="43" fontId="1" fillId="0" borderId="1" xfId="0" applyNumberFormat="1" applyFont="1" applyFill="1" applyBorder="1" applyAlignment="1">
      <alignment horizontal="center"/>
    </xf>
    <xf numFmtId="43" fontId="0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/>
    </xf>
    <xf numFmtId="43" fontId="12" fillId="0" borderId="1" xfId="1" applyFont="1" applyFill="1" applyBorder="1" applyAlignment="1">
      <alignment wrapText="1"/>
    </xf>
    <xf numFmtId="0" fontId="32" fillId="0" borderId="0" xfId="0" applyFont="1" applyFill="1" applyBorder="1" applyAlignment="1">
      <alignment horizontal="center"/>
    </xf>
    <xf numFmtId="43" fontId="14" fillId="0" borderId="0" xfId="0" applyNumberFormat="1" applyFont="1" applyFill="1" applyBorder="1"/>
    <xf numFmtId="0" fontId="12" fillId="0" borderId="1" xfId="0" applyFont="1" applyFill="1" applyBorder="1" applyAlignment="1">
      <alignment wrapText="1"/>
    </xf>
    <xf numFmtId="0" fontId="7" fillId="0" borderId="2" xfId="2" applyFont="1" applyFill="1" applyBorder="1" applyAlignment="1">
      <alignment wrapText="1"/>
    </xf>
    <xf numFmtId="43" fontId="12" fillId="0" borderId="1" xfId="1" applyFont="1" applyFill="1" applyBorder="1" applyAlignment="1">
      <alignment horizontal="right"/>
    </xf>
    <xf numFmtId="0" fontId="14" fillId="0" borderId="0" xfId="0" applyFont="1" applyFill="1"/>
    <xf numFmtId="0" fontId="13" fillId="0" borderId="1" xfId="2" applyFont="1" applyFill="1" applyBorder="1" applyAlignment="1">
      <alignment horizontal="center" wrapText="1"/>
    </xf>
    <xf numFmtId="0" fontId="13" fillId="0" borderId="2" xfId="2" applyFont="1" applyFill="1" applyBorder="1" applyAlignment="1">
      <alignment wrapText="1"/>
    </xf>
    <xf numFmtId="0" fontId="17" fillId="0" borderId="1" xfId="0" applyFont="1" applyFill="1" applyBorder="1"/>
    <xf numFmtId="0" fontId="19" fillId="0" borderId="1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wrapText="1"/>
    </xf>
    <xf numFmtId="43" fontId="19" fillId="0" borderId="1" xfId="1" applyFont="1" applyFill="1" applyBorder="1" applyAlignment="1">
      <alignment horizontal="right" wrapText="1"/>
    </xf>
    <xf numFmtId="0" fontId="14" fillId="0" borderId="1" xfId="0" applyFont="1" applyFill="1" applyBorder="1" applyAlignment="1">
      <alignment wrapText="1"/>
    </xf>
    <xf numFmtId="0" fontId="12" fillId="0" borderId="0" xfId="0" applyFont="1" applyFill="1" applyAlignment="1">
      <alignment wrapText="1"/>
    </xf>
    <xf numFmtId="0" fontId="11" fillId="0" borderId="0" xfId="0" applyFont="1" applyFill="1" applyAlignment="1">
      <alignment horizontal="center"/>
    </xf>
    <xf numFmtId="0" fontId="52" fillId="0" borderId="1" xfId="0" applyFont="1" applyFill="1" applyBorder="1" applyAlignment="1">
      <alignment horizontal="center"/>
    </xf>
    <xf numFmtId="43" fontId="7" fillId="0" borderId="1" xfId="1" applyFont="1" applyFill="1" applyBorder="1" applyAlignment="1">
      <alignment horizontal="right"/>
    </xf>
    <xf numFmtId="164" fontId="26" fillId="0" borderId="1" xfId="4" applyFont="1" applyFill="1" applyBorder="1" applyAlignment="1">
      <alignment wrapText="1"/>
    </xf>
    <xf numFmtId="43" fontId="7" fillId="0" borderId="2" xfId="1" applyFont="1" applyFill="1" applyBorder="1" applyAlignment="1">
      <alignment horizontal="right"/>
    </xf>
    <xf numFmtId="43" fontId="7" fillId="0" borderId="2" xfId="1" applyFont="1" applyFill="1" applyBorder="1"/>
    <xf numFmtId="43" fontId="7" fillId="0" borderId="2" xfId="1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center" wrapText="1"/>
    </xf>
    <xf numFmtId="43" fontId="7" fillId="0" borderId="1" xfId="1" applyFont="1" applyFill="1" applyBorder="1" applyAlignment="1">
      <alignment horizontal="right" wrapText="1"/>
    </xf>
    <xf numFmtId="43" fontId="12" fillId="0" borderId="1" xfId="1" applyFont="1" applyFill="1" applyBorder="1" applyAlignment="1">
      <alignment horizontal="right" wrapText="1"/>
    </xf>
    <xf numFmtId="0" fontId="28" fillId="0" borderId="1" xfId="0" applyFont="1" applyFill="1" applyBorder="1" applyAlignment="1">
      <alignment horizontal="center" wrapText="1"/>
    </xf>
    <xf numFmtId="43" fontId="11" fillId="0" borderId="1" xfId="1" applyFont="1" applyFill="1" applyBorder="1" applyAlignment="1">
      <alignment wrapText="1"/>
    </xf>
    <xf numFmtId="43" fontId="7" fillId="0" borderId="2" xfId="1" applyFont="1" applyFill="1" applyBorder="1" applyAlignment="1">
      <alignment wrapText="1"/>
    </xf>
    <xf numFmtId="43" fontId="11" fillId="0" borderId="2" xfId="1" applyFont="1" applyFill="1" applyBorder="1" applyAlignment="1">
      <alignment wrapText="1"/>
    </xf>
    <xf numFmtId="0" fontId="25" fillId="0" borderId="1" xfId="0" applyFont="1" applyFill="1" applyBorder="1" applyAlignment="1">
      <alignment horizontal="left" wrapText="1"/>
    </xf>
    <xf numFmtId="43" fontId="12" fillId="0" borderId="1" xfId="1" applyFont="1" applyFill="1" applyBorder="1" applyAlignment="1">
      <alignment horizontal="left" wrapText="1"/>
    </xf>
    <xf numFmtId="43" fontId="12" fillId="0" borderId="0" xfId="1" applyFont="1" applyFill="1" applyAlignment="1">
      <alignment wrapText="1"/>
    </xf>
    <xf numFmtId="43" fontId="25" fillId="0" borderId="1" xfId="1" applyFont="1" applyFill="1" applyBorder="1" applyAlignment="1">
      <alignment horizontal="left" wrapText="1"/>
    </xf>
    <xf numFmtId="43" fontId="19" fillId="0" borderId="1" xfId="1" applyFont="1" applyFill="1" applyBorder="1"/>
    <xf numFmtId="43" fontId="16" fillId="0" borderId="0" xfId="1" applyFont="1" applyFill="1" applyBorder="1"/>
    <xf numFmtId="0" fontId="8" fillId="0" borderId="1" xfId="2" applyFont="1" applyFill="1" applyBorder="1" applyAlignment="1">
      <alignment horizontal="center" wrapText="1"/>
    </xf>
    <xf numFmtId="43" fontId="10" fillId="0" borderId="1" xfId="1" applyFont="1" applyFill="1" applyBorder="1" applyAlignment="1">
      <alignment horizontal="right" wrapText="1"/>
    </xf>
    <xf numFmtId="0" fontId="43" fillId="0" borderId="0" xfId="0" applyFont="1" applyFill="1" applyAlignment="1">
      <alignment vertical="center"/>
    </xf>
    <xf numFmtId="43" fontId="7" fillId="0" borderId="1" xfId="1" applyFont="1" applyFill="1" applyBorder="1" applyAlignment="1">
      <alignment horizontal="left"/>
    </xf>
    <xf numFmtId="43" fontId="13" fillId="0" borderId="1" xfId="1" applyFont="1" applyFill="1" applyBorder="1" applyAlignment="1">
      <alignment horizontal="left"/>
    </xf>
    <xf numFmtId="43" fontId="11" fillId="0" borderId="1" xfId="1" applyFont="1" applyFill="1" applyBorder="1" applyAlignment="1">
      <alignment horizontal="left"/>
    </xf>
    <xf numFmtId="9" fontId="1" fillId="0" borderId="1" xfId="0" applyNumberFormat="1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43" fontId="1" fillId="0" borderId="1" xfId="1" applyFont="1" applyFill="1" applyBorder="1" applyAlignment="1">
      <alignment horizontal="center" wrapText="1"/>
    </xf>
    <xf numFmtId="43" fontId="15" fillId="0" borderId="1" xfId="1" applyFont="1" applyFill="1" applyBorder="1" applyAlignment="1">
      <alignment horizontal="center"/>
    </xf>
    <xf numFmtId="43" fontId="25" fillId="0" borderId="1" xfId="1" applyFont="1" applyFill="1" applyBorder="1" applyAlignment="1">
      <alignment wrapText="1"/>
    </xf>
    <xf numFmtId="0" fontId="14" fillId="0" borderId="1" xfId="0" applyFont="1" applyFill="1" applyBorder="1" applyAlignment="1">
      <alignment horizontal="center"/>
    </xf>
    <xf numFmtId="43" fontId="23" fillId="0" borderId="1" xfId="1" applyFont="1" applyFill="1" applyBorder="1" applyAlignment="1">
      <alignment horizontal="center"/>
    </xf>
    <xf numFmtId="43" fontId="7" fillId="0" borderId="0" xfId="0" applyNumberFormat="1" applyFont="1" applyFill="1" applyAlignment="1">
      <alignment horizontal="center"/>
    </xf>
    <xf numFmtId="43" fontId="11" fillId="0" borderId="1" xfId="0" applyNumberFormat="1" applyFont="1" applyFill="1" applyBorder="1"/>
    <xf numFmtId="0" fontId="25" fillId="0" borderId="0" xfId="0" applyFont="1" applyFill="1" applyAlignment="1">
      <alignment wrapText="1"/>
    </xf>
    <xf numFmtId="11" fontId="12" fillId="0" borderId="1" xfId="0" applyNumberFormat="1" applyFont="1" applyFill="1" applyBorder="1" applyAlignment="1">
      <alignment horizontal="center"/>
    </xf>
    <xf numFmtId="0" fontId="27" fillId="0" borderId="2" xfId="2" applyFont="1" applyFill="1" applyBorder="1" applyAlignment="1">
      <alignment wrapText="1"/>
    </xf>
    <xf numFmtId="43" fontId="13" fillId="0" borderId="2" xfId="1" applyFont="1" applyFill="1" applyBorder="1"/>
    <xf numFmtId="43" fontId="13" fillId="0" borderId="2" xfId="1" applyFont="1" applyFill="1" applyBorder="1" applyAlignment="1">
      <alignment wrapText="1"/>
    </xf>
    <xf numFmtId="43" fontId="16" fillId="0" borderId="0" xfId="1" applyFont="1" applyFill="1" applyAlignment="1">
      <alignment wrapText="1"/>
    </xf>
    <xf numFmtId="43" fontId="12" fillId="0" borderId="0" xfId="1" applyFont="1" applyFill="1" applyAlignment="1">
      <alignment horizontal="left"/>
    </xf>
    <xf numFmtId="0" fontId="1" fillId="0" borderId="1" xfId="0" applyFont="1" applyFill="1" applyBorder="1" applyAlignment="1">
      <alignment horizontal="left" wrapText="1"/>
    </xf>
    <xf numFmtId="43" fontId="10" fillId="0" borderId="1" xfId="1" applyFont="1" applyFill="1" applyBorder="1" applyAlignment="1">
      <alignment horizontal="left" wrapText="1"/>
    </xf>
    <xf numFmtId="43" fontId="1" fillId="0" borderId="1" xfId="1" applyFont="1" applyFill="1" applyBorder="1" applyAlignment="1">
      <alignment horizontal="left"/>
    </xf>
    <xf numFmtId="0" fontId="16" fillId="0" borderId="0" xfId="0" applyFont="1" applyFill="1" applyAlignment="1">
      <alignment horizontal="center" wrapText="1"/>
    </xf>
    <xf numFmtId="0" fontId="28" fillId="0" borderId="1" xfId="0" applyFont="1" applyFill="1" applyBorder="1"/>
    <xf numFmtId="0" fontId="42" fillId="0" borderId="5" xfId="0" applyFont="1" applyFill="1" applyBorder="1" applyAlignment="1">
      <alignment horizontal="center"/>
    </xf>
    <xf numFmtId="43" fontId="25" fillId="0" borderId="1" xfId="1" applyFont="1" applyFill="1" applyBorder="1"/>
    <xf numFmtId="43" fontId="26" fillId="0" borderId="9" xfId="3" applyFont="1" applyFill="1" applyBorder="1" applyAlignment="1">
      <alignment horizontal="left" wrapText="1"/>
    </xf>
    <xf numFmtId="43" fontId="26" fillId="0" borderId="1" xfId="3" applyFont="1" applyFill="1" applyBorder="1" applyAlignment="1">
      <alignment horizontal="left" wrapText="1"/>
    </xf>
    <xf numFmtId="0" fontId="26" fillId="0" borderId="1" xfId="0" applyFont="1" applyFill="1" applyBorder="1" applyAlignment="1">
      <alignment horizontal="center"/>
    </xf>
    <xf numFmtId="0" fontId="27" fillId="0" borderId="1" xfId="0" applyFont="1" applyFill="1" applyBorder="1"/>
    <xf numFmtId="43" fontId="27" fillId="0" borderId="1" xfId="1" applyFont="1" applyFill="1" applyBorder="1"/>
    <xf numFmtId="0" fontId="7" fillId="0" borderId="0" xfId="0" applyFont="1" applyFill="1" applyBorder="1"/>
    <xf numFmtId="0" fontId="14" fillId="0" borderId="1" xfId="0" applyFont="1" applyFill="1" applyBorder="1"/>
    <xf numFmtId="0" fontId="14" fillId="0" borderId="1" xfId="0" applyFont="1" applyFill="1" applyBorder="1" applyAlignment="1">
      <alignment horizontal="right"/>
    </xf>
    <xf numFmtId="43" fontId="25" fillId="0" borderId="0" xfId="0" applyNumberFormat="1" applyFont="1" applyFill="1"/>
    <xf numFmtId="0" fontId="28" fillId="0" borderId="0" xfId="0" applyFont="1" applyFill="1"/>
    <xf numFmtId="0" fontId="29" fillId="0" borderId="1" xfId="0" applyFont="1" applyFill="1" applyBorder="1" applyAlignment="1">
      <alignment horizontal="center"/>
    </xf>
    <xf numFmtId="43" fontId="27" fillId="0" borderId="0" xfId="1" applyFont="1" applyFill="1" applyBorder="1"/>
    <xf numFmtId="0" fontId="25" fillId="0" borderId="0" xfId="0" applyFont="1" applyFill="1" applyBorder="1"/>
    <xf numFmtId="43" fontId="30" fillId="0" borderId="0" xfId="0" applyNumberFormat="1" applyFont="1" applyFill="1" applyBorder="1"/>
    <xf numFmtId="0" fontId="28" fillId="0" borderId="0" xfId="0" applyFont="1" applyFill="1" applyBorder="1" applyAlignment="1">
      <alignment horizontal="right"/>
    </xf>
    <xf numFmtId="0" fontId="28" fillId="0" borderId="0" xfId="0" applyFont="1" applyFill="1" applyBorder="1"/>
    <xf numFmtId="43" fontId="14" fillId="0" borderId="0" xfId="0" applyNumberFormat="1" applyFont="1" applyFill="1" applyBorder="1" applyAlignment="1">
      <alignment horizontal="right"/>
    </xf>
    <xf numFmtId="0" fontId="25" fillId="0" borderId="0" xfId="0" applyFont="1" applyFill="1"/>
    <xf numFmtId="0" fontId="8" fillId="0" borderId="1" xfId="0" applyFont="1" applyFill="1" applyBorder="1" applyAlignment="1">
      <alignment wrapText="1"/>
    </xf>
    <xf numFmtId="43" fontId="8" fillId="0" borderId="1" xfId="3" applyFont="1" applyFill="1" applyBorder="1" applyAlignment="1">
      <alignment horizontal="left" wrapText="1"/>
    </xf>
    <xf numFmtId="0" fontId="8" fillId="0" borderId="9" xfId="0" applyFont="1" applyFill="1" applyBorder="1" applyAlignment="1">
      <alignment wrapText="1"/>
    </xf>
    <xf numFmtId="0" fontId="20" fillId="0" borderId="1" xfId="0" applyFont="1" applyFill="1" applyBorder="1"/>
    <xf numFmtId="43" fontId="26" fillId="0" borderId="0" xfId="0" applyNumberFormat="1" applyFont="1" applyFill="1" applyBorder="1"/>
    <xf numFmtId="43" fontId="26" fillId="0" borderId="0" xfId="1" applyFont="1" applyFill="1" applyBorder="1"/>
    <xf numFmtId="43" fontId="0" fillId="0" borderId="0" xfId="0" applyNumberFormat="1" applyFont="1" applyFill="1" applyBorder="1"/>
    <xf numFmtId="43" fontId="25" fillId="0" borderId="0" xfId="0" applyNumberFormat="1" applyFont="1" applyFill="1" applyBorder="1"/>
    <xf numFmtId="43" fontId="3" fillId="0" borderId="1" xfId="1" applyFont="1" applyFill="1" applyBorder="1"/>
    <xf numFmtId="0" fontId="1" fillId="0" borderId="1" xfId="0" applyNumberFormat="1" applyFont="1" applyFill="1" applyBorder="1" applyAlignment="1">
      <alignment wrapText="1"/>
    </xf>
    <xf numFmtId="0" fontId="36" fillId="0" borderId="1" xfId="0" applyFont="1" applyFill="1" applyBorder="1" applyAlignment="1">
      <alignment horizontal="left"/>
    </xf>
    <xf numFmtId="0" fontId="12" fillId="0" borderId="0" xfId="0" applyFont="1" applyFill="1" applyBorder="1" applyAlignment="1">
      <alignment wrapText="1"/>
    </xf>
    <xf numFmtId="43" fontId="12" fillId="0" borderId="0" xfId="1" applyFont="1" applyFill="1" applyBorder="1" applyAlignment="1">
      <alignment horizontal="center"/>
    </xf>
    <xf numFmtId="164" fontId="7" fillId="0" borderId="1" xfId="4" applyFont="1" applyFill="1" applyBorder="1" applyAlignment="1">
      <alignment wrapText="1"/>
    </xf>
    <xf numFmtId="0" fontId="13" fillId="0" borderId="1" xfId="2" applyFont="1" applyFill="1" applyBorder="1" applyAlignment="1">
      <alignment wrapText="1"/>
    </xf>
    <xf numFmtId="43" fontId="25" fillId="0" borderId="0" xfId="1" applyFont="1" applyFill="1" applyAlignment="1"/>
    <xf numFmtId="0" fontId="10" fillId="0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 wrapText="1"/>
    </xf>
    <xf numFmtId="43" fontId="26" fillId="0" borderId="1" xfId="1" applyFont="1" applyFill="1" applyBorder="1" applyAlignment="1"/>
    <xf numFmtId="0" fontId="27" fillId="0" borderId="1" xfId="0" applyFont="1" applyFill="1" applyBorder="1" applyAlignment="1">
      <alignment horizontal="center" wrapText="1"/>
    </xf>
    <xf numFmtId="43" fontId="10" fillId="0" borderId="1" xfId="1" applyFont="1" applyFill="1" applyBorder="1" applyAlignment="1">
      <alignment horizontal="center"/>
    </xf>
    <xf numFmtId="0" fontId="51" fillId="0" borderId="1" xfId="0" applyFont="1" applyFill="1" applyBorder="1" applyAlignment="1">
      <alignment horizontal="center"/>
    </xf>
    <xf numFmtId="0" fontId="25" fillId="0" borderId="0" xfId="0" applyFont="1" applyFill="1" applyAlignment="1">
      <alignment horizontal="center"/>
    </xf>
    <xf numFmtId="0" fontId="26" fillId="0" borderId="1" xfId="0" applyFont="1" applyFill="1" applyBorder="1" applyAlignment="1"/>
    <xf numFmtId="0" fontId="10" fillId="0" borderId="1" xfId="0" applyFont="1" applyFill="1" applyBorder="1"/>
    <xf numFmtId="0" fontId="27" fillId="0" borderId="1" xfId="0" applyFont="1" applyFill="1" applyBorder="1" applyAlignment="1">
      <alignment wrapText="1"/>
    </xf>
    <xf numFmtId="0" fontId="27" fillId="0" borderId="1" xfId="0" applyFont="1" applyFill="1" applyBorder="1" applyAlignment="1"/>
    <xf numFmtId="164" fontId="23" fillId="0" borderId="1" xfId="4" applyFont="1" applyFill="1" applyBorder="1"/>
    <xf numFmtId="43" fontId="28" fillId="0" borderId="1" xfId="1" applyFont="1" applyFill="1" applyBorder="1" applyAlignment="1"/>
    <xf numFmtId="164" fontId="26" fillId="0" borderId="1" xfId="4" applyFont="1" applyFill="1" applyBorder="1" applyAlignment="1">
      <alignment horizontal="left" wrapText="1"/>
    </xf>
    <xf numFmtId="164" fontId="15" fillId="0" borderId="1" xfId="4" applyFont="1" applyFill="1" applyBorder="1" applyAlignment="1">
      <alignment horizontal="center"/>
    </xf>
    <xf numFmtId="164" fontId="27" fillId="0" borderId="1" xfId="4" applyFont="1" applyFill="1" applyBorder="1" applyAlignment="1">
      <alignment horizontal="left" wrapText="1"/>
    </xf>
    <xf numFmtId="164" fontId="23" fillId="0" borderId="1" xfId="4" applyFont="1" applyFill="1" applyBorder="1" applyAlignment="1">
      <alignment horizontal="center"/>
    </xf>
    <xf numFmtId="43" fontId="11" fillId="0" borderId="0" xfId="1" applyFont="1" applyFill="1" applyAlignment="1">
      <alignment horizontal="left"/>
    </xf>
    <xf numFmtId="0" fontId="11" fillId="0" borderId="1" xfId="0" applyFont="1" applyFill="1" applyBorder="1" applyAlignment="1">
      <alignment horizontal="left" wrapText="1"/>
    </xf>
    <xf numFmtId="43" fontId="8" fillId="0" borderId="1" xfId="1" applyFont="1" applyFill="1" applyBorder="1"/>
    <xf numFmtId="0" fontId="17" fillId="0" borderId="1" xfId="0" applyFont="1" applyFill="1" applyBorder="1" applyAlignment="1">
      <alignment horizontal="left"/>
    </xf>
    <xf numFmtId="43" fontId="13" fillId="0" borderId="1" xfId="0" applyNumberFormat="1" applyFont="1" applyFill="1" applyBorder="1"/>
    <xf numFmtId="0" fontId="24" fillId="0" borderId="1" xfId="0" applyFont="1" applyFill="1" applyBorder="1" applyAlignment="1">
      <alignment horizontal="center"/>
    </xf>
    <xf numFmtId="0" fontId="47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wrapText="1"/>
    </xf>
    <xf numFmtId="43" fontId="12" fillId="0" borderId="1" xfId="0" applyNumberFormat="1" applyFont="1" applyFill="1" applyBorder="1" applyAlignment="1">
      <alignment horizontal="left"/>
    </xf>
    <xf numFmtId="43" fontId="12" fillId="0" borderId="0" xfId="0" applyNumberFormat="1" applyFont="1" applyFill="1"/>
    <xf numFmtId="166" fontId="12" fillId="0" borderId="0" xfId="1" applyNumberFormat="1" applyFont="1" applyFill="1" applyAlignment="1">
      <alignment horizontal="left"/>
    </xf>
    <xf numFmtId="166" fontId="11" fillId="0" borderId="1" xfId="1" applyNumberFormat="1" applyFont="1" applyFill="1" applyBorder="1" applyAlignment="1">
      <alignment horizontal="left"/>
    </xf>
    <xf numFmtId="0" fontId="33" fillId="0" borderId="1" xfId="0" applyFont="1" applyFill="1" applyBorder="1"/>
    <xf numFmtId="166" fontId="33" fillId="0" borderId="1" xfId="0" applyNumberFormat="1" applyFont="1" applyFill="1" applyBorder="1"/>
    <xf numFmtId="166" fontId="7" fillId="0" borderId="1" xfId="0" applyNumberFormat="1" applyFont="1" applyFill="1" applyBorder="1"/>
    <xf numFmtId="166" fontId="13" fillId="0" borderId="1" xfId="0" applyNumberFormat="1" applyFont="1" applyFill="1" applyBorder="1"/>
    <xf numFmtId="0" fontId="12" fillId="0" borderId="0" xfId="1" applyNumberFormat="1" applyFont="1" applyFill="1" applyAlignment="1">
      <alignment horizontal="left"/>
    </xf>
    <xf numFmtId="166" fontId="12" fillId="0" borderId="0" xfId="0" applyNumberFormat="1" applyFont="1" applyFill="1" applyAlignment="1">
      <alignment horizontal="left"/>
    </xf>
    <xf numFmtId="43" fontId="12" fillId="0" borderId="0" xfId="0" applyNumberFormat="1" applyFont="1" applyFill="1" applyAlignment="1">
      <alignment horizontal="left"/>
    </xf>
    <xf numFmtId="43" fontId="16" fillId="0" borderId="0" xfId="1" applyFont="1" applyFill="1" applyAlignment="1">
      <alignment horizontal="left"/>
    </xf>
    <xf numFmtId="0" fontId="11" fillId="0" borderId="2" xfId="0" applyFont="1" applyFill="1" applyBorder="1" applyAlignment="1">
      <alignment wrapText="1"/>
    </xf>
    <xf numFmtId="0" fontId="27" fillId="0" borderId="1" xfId="0" applyFont="1" applyFill="1" applyBorder="1" applyAlignment="1">
      <alignment horizontal="center"/>
    </xf>
    <xf numFmtId="43" fontId="27" fillId="0" borderId="1" xfId="1" applyFont="1" applyFill="1" applyBorder="1" applyAlignment="1">
      <alignment horizontal="center"/>
    </xf>
    <xf numFmtId="43" fontId="28" fillId="0" borderId="1" xfId="1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 wrapText="1"/>
    </xf>
    <xf numFmtId="43" fontId="26" fillId="0" borderId="1" xfId="0" applyNumberFormat="1" applyFont="1" applyFill="1" applyBorder="1"/>
    <xf numFmtId="43" fontId="25" fillId="0" borderId="1" xfId="1" applyFont="1" applyFill="1" applyBorder="1" applyAlignment="1">
      <alignment horizontal="center"/>
    </xf>
    <xf numFmtId="43" fontId="25" fillId="0" borderId="1" xfId="1" applyFont="1" applyFill="1" applyBorder="1" applyAlignment="1">
      <alignment horizontal="left"/>
    </xf>
    <xf numFmtId="43" fontId="27" fillId="0" borderId="1" xfId="0" applyNumberFormat="1" applyFont="1" applyFill="1" applyBorder="1"/>
    <xf numFmtId="0" fontId="11" fillId="0" borderId="0" xfId="0" applyFont="1" applyFill="1" applyBorder="1" applyAlignment="1">
      <alignment horizontal="center" wrapText="1"/>
    </xf>
    <xf numFmtId="43" fontId="27" fillId="0" borderId="0" xfId="0" applyNumberFormat="1" applyFont="1" applyFill="1" applyBorder="1"/>
    <xf numFmtId="0" fontId="12" fillId="0" borderId="0" xfId="0" applyFont="1" applyFill="1" applyBorder="1" applyAlignment="1">
      <alignment horizontal="center" wrapText="1"/>
    </xf>
    <xf numFmtId="43" fontId="12" fillId="0" borderId="0" xfId="1" applyFont="1" applyFill="1" applyBorder="1" applyAlignment="1">
      <alignment horizontal="left"/>
    </xf>
    <xf numFmtId="0" fontId="0" fillId="0" borderId="0" xfId="0" applyFill="1"/>
    <xf numFmtId="43" fontId="12" fillId="2" borderId="0" xfId="1" applyFont="1" applyFill="1" applyAlignment="1">
      <alignment horizontal="center"/>
    </xf>
    <xf numFmtId="0" fontId="25" fillId="0" borderId="1" xfId="0" applyFont="1" applyFill="1" applyBorder="1"/>
    <xf numFmtId="0" fontId="53" fillId="0" borderId="5" xfId="0" applyFont="1" applyFill="1" applyBorder="1" applyAlignment="1">
      <alignment horizontal="center"/>
    </xf>
    <xf numFmtId="43" fontId="26" fillId="0" borderId="5" xfId="1" applyFont="1" applyFill="1" applyBorder="1" applyAlignment="1">
      <alignment horizontal="center"/>
    </xf>
    <xf numFmtId="43" fontId="25" fillId="0" borderId="1" xfId="0" applyNumberFormat="1" applyFont="1" applyFill="1" applyBorder="1" applyAlignment="1">
      <alignment horizontal="center"/>
    </xf>
    <xf numFmtId="43" fontId="53" fillId="0" borderId="5" xfId="0" applyNumberFormat="1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7" fillId="0" borderId="0" xfId="0" applyFont="1" applyFill="1" applyBorder="1"/>
    <xf numFmtId="0" fontId="0" fillId="0" borderId="0" xfId="0" applyFill="1"/>
    <xf numFmtId="0" fontId="0" fillId="0" borderId="1" xfId="0" applyFill="1" applyBorder="1" applyAlignment="1">
      <alignment horizontal="center"/>
    </xf>
    <xf numFmtId="0" fontId="13" fillId="0" borderId="0" xfId="2" applyFont="1" applyFill="1" applyBorder="1" applyAlignment="1">
      <alignment horizontal="center" wrapText="1"/>
    </xf>
    <xf numFmtId="0" fontId="13" fillId="0" borderId="0" xfId="2" applyFont="1" applyFill="1" applyBorder="1" applyAlignment="1">
      <alignment wrapText="1"/>
    </xf>
    <xf numFmtId="43" fontId="53" fillId="0" borderId="5" xfId="1" applyFont="1" applyFill="1" applyBorder="1" applyAlignment="1">
      <alignment horizontal="center"/>
    </xf>
    <xf numFmtId="0" fontId="0" fillId="0" borderId="0" xfId="0" applyFill="1"/>
    <xf numFmtId="0" fontId="0" fillId="0" borderId="0" xfId="0" applyFill="1"/>
    <xf numFmtId="0" fontId="3" fillId="0" borderId="1" xfId="0" applyFont="1" applyFill="1" applyBorder="1" applyAlignment="1">
      <alignment horizontal="center"/>
    </xf>
    <xf numFmtId="0" fontId="0" fillId="0" borderId="0" xfId="0" applyFill="1"/>
    <xf numFmtId="0" fontId="1" fillId="0" borderId="0" xfId="0" applyFont="1" applyFill="1"/>
    <xf numFmtId="0" fontId="43" fillId="0" borderId="0" xfId="0" applyFont="1" applyFill="1" applyAlignment="1">
      <alignment horizontal="center" vertical="center"/>
    </xf>
    <xf numFmtId="0" fontId="39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wrapText="1"/>
    </xf>
    <xf numFmtId="43" fontId="11" fillId="0" borderId="1" xfId="1" applyFont="1" applyFill="1" applyBorder="1" applyAlignment="1">
      <alignment horizontal="center"/>
    </xf>
    <xf numFmtId="0" fontId="13" fillId="0" borderId="8" xfId="2" applyFont="1" applyFill="1" applyBorder="1" applyAlignment="1">
      <alignment horizontal="center" wrapText="1"/>
    </xf>
    <xf numFmtId="0" fontId="13" fillId="0" borderId="8" xfId="2" applyFont="1" applyFill="1" applyBorder="1" applyAlignment="1">
      <alignment wrapText="1"/>
    </xf>
    <xf numFmtId="43" fontId="13" fillId="0" borderId="8" xfId="1" applyFont="1" applyFill="1" applyBorder="1"/>
    <xf numFmtId="43" fontId="7" fillId="0" borderId="1" xfId="1" applyFont="1" applyFill="1" applyBorder="1" applyAlignment="1">
      <alignment horizontal="left" wrapText="1"/>
    </xf>
    <xf numFmtId="43" fontId="11" fillId="0" borderId="1" xfId="1" applyFont="1" applyFill="1" applyBorder="1" applyAlignment="1"/>
    <xf numFmtId="0" fontId="11" fillId="0" borderId="1" xfId="0" applyFont="1" applyFill="1" applyBorder="1" applyAlignment="1"/>
    <xf numFmtId="0" fontId="27" fillId="0" borderId="4" xfId="8" applyFont="1" applyFill="1" applyBorder="1" applyAlignment="1">
      <alignment horizontal="center"/>
    </xf>
    <xf numFmtId="0" fontId="27" fillId="0" borderId="1" xfId="8" applyFont="1" applyFill="1" applyBorder="1" applyAlignment="1">
      <alignment horizontal="center" wrapText="1"/>
    </xf>
    <xf numFmtId="0" fontId="26" fillId="0" borderId="1" xfId="8" applyFont="1" applyFill="1" applyBorder="1" applyAlignment="1">
      <alignment wrapText="1"/>
    </xf>
    <xf numFmtId="0" fontId="26" fillId="0" borderId="5" xfId="8" applyFont="1" applyFill="1" applyBorder="1" applyAlignment="1">
      <alignment wrapText="1"/>
    </xf>
    <xf numFmtId="0" fontId="27" fillId="0" borderId="1" xfId="8" applyFont="1" applyFill="1" applyBorder="1" applyAlignment="1">
      <alignment wrapText="1"/>
    </xf>
    <xf numFmtId="43" fontId="28" fillId="0" borderId="1" xfId="1" applyFont="1" applyFill="1" applyBorder="1" applyAlignment="1">
      <alignment wrapText="1"/>
    </xf>
    <xf numFmtId="0" fontId="34" fillId="0" borderId="0" xfId="8" applyFont="1" applyFill="1"/>
    <xf numFmtId="0" fontId="34" fillId="0" borderId="0" xfId="8" applyFont="1" applyFill="1" applyAlignment="1">
      <alignment horizontal="left" vertical="center" wrapText="1"/>
    </xf>
    <xf numFmtId="0" fontId="15" fillId="0" borderId="0" xfId="8" applyFont="1" applyFill="1" applyAlignment="1">
      <alignment horizontal="center"/>
    </xf>
    <xf numFmtId="0" fontId="15" fillId="0" borderId="0" xfId="8" applyFont="1" applyFill="1" applyAlignment="1">
      <alignment wrapText="1"/>
    </xf>
    <xf numFmtId="43" fontId="15" fillId="0" borderId="0" xfId="1" applyFont="1" applyFill="1"/>
    <xf numFmtId="0" fontId="23" fillId="0" borderId="0" xfId="8" applyFont="1" applyFill="1"/>
    <xf numFmtId="43" fontId="23" fillId="0" borderId="2" xfId="1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23" fillId="0" borderId="1" xfId="8" applyFont="1" applyFill="1" applyBorder="1" applyAlignment="1">
      <alignment horizontal="center"/>
    </xf>
    <xf numFmtId="0" fontId="23" fillId="0" borderId="4" xfId="8" applyFont="1" applyFill="1" applyBorder="1" applyAlignment="1">
      <alignment horizontal="center" wrapText="1"/>
    </xf>
    <xf numFmtId="0" fontId="23" fillId="0" borderId="2" xfId="1" applyNumberFormat="1" applyFont="1" applyFill="1" applyBorder="1" applyAlignment="1">
      <alignment horizontal="center"/>
    </xf>
    <xf numFmtId="0" fontId="23" fillId="0" borderId="1" xfId="1" applyNumberFormat="1" applyFont="1" applyFill="1" applyBorder="1" applyAlignment="1">
      <alignment horizontal="center"/>
    </xf>
    <xf numFmtId="0" fontId="23" fillId="0" borderId="10" xfId="8" applyFont="1" applyFill="1" applyBorder="1" applyAlignment="1">
      <alignment horizontal="center" wrapText="1"/>
    </xf>
    <xf numFmtId="0" fontId="23" fillId="0" borderId="11" xfId="8" applyFont="1" applyFill="1" applyBorder="1" applyAlignment="1">
      <alignment horizontal="center"/>
    </xf>
    <xf numFmtId="0" fontId="23" fillId="0" borderId="1" xfId="8" applyFont="1" applyFill="1" applyBorder="1" applyAlignment="1">
      <alignment horizontal="center" wrapText="1"/>
    </xf>
    <xf numFmtId="0" fontId="15" fillId="0" borderId="0" xfId="8" applyFont="1" applyFill="1"/>
    <xf numFmtId="0" fontId="15" fillId="0" borderId="1" xfId="8" applyFont="1" applyFill="1" applyBorder="1" applyAlignment="1">
      <alignment horizontal="center"/>
    </xf>
    <xf numFmtId="0" fontId="15" fillId="0" borderId="1" xfId="8" applyFont="1" applyFill="1" applyBorder="1" applyAlignment="1">
      <alignment wrapText="1"/>
    </xf>
    <xf numFmtId="43" fontId="15" fillId="0" borderId="2" xfId="1" applyFont="1" applyFill="1" applyBorder="1"/>
    <xf numFmtId="0" fontId="15" fillId="0" borderId="4" xfId="8" applyFont="1" applyFill="1" applyBorder="1" applyAlignment="1">
      <alignment wrapText="1"/>
    </xf>
    <xf numFmtId="0" fontId="15" fillId="0" borderId="3" xfId="8" applyFont="1" applyFill="1" applyBorder="1" applyAlignment="1">
      <alignment horizontal="center"/>
    </xf>
    <xf numFmtId="0" fontId="15" fillId="0" borderId="14" xfId="8" applyFont="1" applyFill="1" applyBorder="1" applyAlignment="1">
      <alignment wrapText="1"/>
    </xf>
    <xf numFmtId="0" fontId="15" fillId="0" borderId="8" xfId="8" applyFont="1" applyFill="1" applyBorder="1" applyAlignment="1">
      <alignment horizontal="center"/>
    </xf>
    <xf numFmtId="43" fontId="23" fillId="0" borderId="2" xfId="1" applyFont="1" applyFill="1" applyBorder="1"/>
    <xf numFmtId="43" fontId="23" fillId="0" borderId="1" xfId="1" applyFont="1" applyFill="1" applyBorder="1"/>
    <xf numFmtId="0" fontId="15" fillId="0" borderId="7" xfId="8" applyFont="1" applyFill="1" applyBorder="1" applyAlignment="1">
      <alignment horizontal="center"/>
    </xf>
    <xf numFmtId="0" fontId="15" fillId="0" borderId="0" xfId="8" applyFont="1" applyFill="1" applyBorder="1" applyAlignment="1">
      <alignment horizontal="center"/>
    </xf>
    <xf numFmtId="0" fontId="15" fillId="0" borderId="11" xfId="8" applyFont="1" applyFill="1" applyBorder="1" applyAlignment="1">
      <alignment horizontal="center"/>
    </xf>
    <xf numFmtId="43" fontId="15" fillId="0" borderId="5" xfId="1" applyFont="1" applyFill="1" applyBorder="1"/>
    <xf numFmtId="0" fontId="23" fillId="0" borderId="1" xfId="8" applyFont="1" applyFill="1" applyBorder="1"/>
    <xf numFmtId="0" fontId="23" fillId="0" borderId="1" xfId="8" applyFont="1" applyFill="1" applyBorder="1" applyAlignment="1">
      <alignment horizontal="left" vertical="center" wrapText="1"/>
    </xf>
    <xf numFmtId="0" fontId="23" fillId="0" borderId="1" xfId="8" applyFont="1" applyFill="1" applyBorder="1" applyAlignment="1">
      <alignment wrapText="1"/>
    </xf>
    <xf numFmtId="43" fontId="14" fillId="0" borderId="1" xfId="1" applyFont="1" applyFill="1" applyBorder="1" applyAlignment="1">
      <alignment wrapText="1"/>
    </xf>
    <xf numFmtId="0" fontId="15" fillId="0" borderId="1" xfId="8" applyFont="1" applyFill="1" applyBorder="1"/>
    <xf numFmtId="0" fontId="15" fillId="0" borderId="1" xfId="8" applyFont="1" applyFill="1" applyBorder="1" applyAlignment="1">
      <alignment horizontal="left" vertical="center" wrapText="1"/>
    </xf>
    <xf numFmtId="0" fontId="26" fillId="0" borderId="0" xfId="8" applyFont="1" applyFill="1" applyAlignment="1">
      <alignment wrapText="1"/>
    </xf>
    <xf numFmtId="43" fontId="0" fillId="0" borderId="0" xfId="1" applyFont="1" applyFill="1" applyAlignment="1">
      <alignment wrapText="1"/>
    </xf>
    <xf numFmtId="0" fontId="40" fillId="0" borderId="0" xfId="8" applyFont="1" applyFill="1"/>
    <xf numFmtId="0" fontId="23" fillId="0" borderId="1" xfId="8" applyFont="1" applyFill="1" applyBorder="1" applyAlignment="1">
      <alignment horizontal="center" vertical="center" wrapText="1"/>
    </xf>
    <xf numFmtId="43" fontId="23" fillId="0" borderId="1" xfId="1" applyFont="1" applyFill="1" applyBorder="1" applyAlignment="1">
      <alignment horizontal="center" wrapText="1"/>
    </xf>
    <xf numFmtId="43" fontId="25" fillId="0" borderId="0" xfId="1" applyFont="1" applyFill="1" applyAlignment="1">
      <alignment wrapText="1"/>
    </xf>
    <xf numFmtId="43" fontId="28" fillId="0" borderId="1" xfId="1" applyFont="1" applyFill="1" applyBorder="1"/>
    <xf numFmtId="43" fontId="55" fillId="0" borderId="1" xfId="1" applyFont="1" applyFill="1" applyBorder="1"/>
    <xf numFmtId="0" fontId="38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7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0" fillId="0" borderId="0" xfId="0" applyFill="1"/>
    <xf numFmtId="0" fontId="50" fillId="0" borderId="0" xfId="0" applyFont="1" applyAlignment="1">
      <alignment horizontal="center"/>
    </xf>
    <xf numFmtId="0" fontId="50" fillId="0" borderId="0" xfId="0" applyFont="1" applyAlignment="1">
      <alignment horizontal="center" wrapText="1"/>
    </xf>
    <xf numFmtId="0" fontId="49" fillId="0" borderId="0" xfId="0" applyFont="1" applyAlignment="1">
      <alignment horizontal="center"/>
    </xf>
    <xf numFmtId="0" fontId="49" fillId="0" borderId="0" xfId="0" applyFont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49" fillId="0" borderId="0" xfId="0" applyFont="1" applyFill="1" applyAlignment="1">
      <alignment horizontal="center" vertical="center"/>
    </xf>
    <xf numFmtId="0" fontId="49" fillId="0" borderId="0" xfId="0" applyFont="1" applyFill="1" applyAlignment="1">
      <alignment horizontal="center" vertical="center" wrapText="1"/>
    </xf>
    <xf numFmtId="0" fontId="1" fillId="0" borderId="0" xfId="0" applyFont="1" applyFill="1"/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3" fillId="0" borderId="17" xfId="0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 wrapText="1"/>
    </xf>
    <xf numFmtId="0" fontId="1" fillId="0" borderId="17" xfId="0" applyFont="1" applyFill="1" applyBorder="1" applyAlignment="1">
      <alignment horizontal="center" wrapText="1"/>
    </xf>
    <xf numFmtId="0" fontId="1" fillId="0" borderId="18" xfId="0" applyFont="1" applyFill="1" applyBorder="1" applyAlignment="1">
      <alignment horizontal="center" wrapText="1"/>
    </xf>
    <xf numFmtId="0" fontId="1" fillId="0" borderId="19" xfId="0" applyFont="1" applyFill="1" applyBorder="1" applyAlignment="1">
      <alignment horizontal="center" wrapText="1"/>
    </xf>
    <xf numFmtId="0" fontId="43" fillId="0" borderId="0" xfId="0" applyFont="1" applyFill="1" applyAlignment="1">
      <alignment horizontal="center" vertical="center"/>
    </xf>
    <xf numFmtId="0" fontId="4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43" fillId="0" borderId="8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2" xfId="1" applyNumberFormat="1" applyFont="1" applyFill="1" applyBorder="1" applyAlignment="1">
      <alignment horizontal="center"/>
    </xf>
    <xf numFmtId="0" fontId="11" fillId="0" borderId="3" xfId="1" applyNumberFormat="1" applyFont="1" applyFill="1" applyBorder="1" applyAlignment="1">
      <alignment horizontal="center"/>
    </xf>
    <xf numFmtId="0" fontId="11" fillId="0" borderId="1" xfId="1" applyNumberFormat="1" applyFont="1" applyFill="1" applyBorder="1" applyAlignment="1">
      <alignment horizontal="center"/>
    </xf>
    <xf numFmtId="49" fontId="1" fillId="0" borderId="2" xfId="1" applyNumberFormat="1" applyFont="1" applyFill="1" applyBorder="1" applyAlignment="1">
      <alignment horizontal="center"/>
    </xf>
    <xf numFmtId="49" fontId="1" fillId="0" borderId="3" xfId="1" applyNumberFormat="1" applyFont="1" applyFill="1" applyBorder="1" applyAlignment="1">
      <alignment horizontal="center"/>
    </xf>
    <xf numFmtId="49" fontId="1" fillId="0" borderId="4" xfId="1" applyNumberFormat="1" applyFont="1" applyFill="1" applyBorder="1" applyAlignment="1">
      <alignment horizontal="center"/>
    </xf>
    <xf numFmtId="0" fontId="43" fillId="0" borderId="8" xfId="0" applyFont="1" applyFill="1" applyBorder="1" applyAlignment="1">
      <alignment horizontal="center"/>
    </xf>
    <xf numFmtId="0" fontId="43" fillId="0" borderId="0" xfId="0" applyFont="1" applyFill="1" applyBorder="1" applyAlignment="1">
      <alignment horizontal="center" vertical="center"/>
    </xf>
    <xf numFmtId="0" fontId="45" fillId="0" borderId="0" xfId="0" applyFont="1" applyFill="1" applyAlignment="1">
      <alignment horizontal="center" vertical="center"/>
    </xf>
    <xf numFmtId="0" fontId="43" fillId="0" borderId="0" xfId="0" applyFont="1" applyFill="1" applyAlignment="1">
      <alignment horizontal="center"/>
    </xf>
    <xf numFmtId="0" fontId="17" fillId="0" borderId="0" xfId="0" applyFont="1" applyFill="1"/>
    <xf numFmtId="0" fontId="3" fillId="0" borderId="0" xfId="0" applyFont="1" applyFill="1" applyBorder="1" applyAlignment="1">
      <alignment horizontal="center"/>
    </xf>
    <xf numFmtId="0" fontId="43" fillId="0" borderId="3" xfId="0" applyFont="1" applyFill="1" applyBorder="1" applyAlignment="1">
      <alignment horizontal="center" vertical="center"/>
    </xf>
    <xf numFmtId="0" fontId="43" fillId="0" borderId="3" xfId="0" applyFont="1" applyFill="1" applyBorder="1" applyAlignment="1">
      <alignment horizontal="center"/>
    </xf>
    <xf numFmtId="43" fontId="27" fillId="0" borderId="1" xfId="1" applyFont="1" applyFill="1" applyBorder="1" applyAlignment="1">
      <alignment horizontal="center"/>
    </xf>
    <xf numFmtId="0" fontId="29" fillId="0" borderId="1" xfId="0" applyFont="1" applyFill="1" applyBorder="1" applyAlignment="1">
      <alignment horizontal="center"/>
    </xf>
    <xf numFmtId="0" fontId="42" fillId="0" borderId="1" xfId="0" applyFont="1" applyFill="1" applyBorder="1" applyAlignment="1">
      <alignment horizontal="center"/>
    </xf>
    <xf numFmtId="0" fontId="16" fillId="0" borderId="1" xfId="0" applyFont="1" applyFill="1" applyBorder="1"/>
    <xf numFmtId="43" fontId="16" fillId="0" borderId="1" xfId="1" applyFont="1" applyFill="1" applyBorder="1"/>
    <xf numFmtId="0" fontId="14" fillId="0" borderId="1" xfId="0" applyFont="1" applyFill="1" applyBorder="1"/>
    <xf numFmtId="43" fontId="14" fillId="0" borderId="1" xfId="0" applyNumberFormat="1" applyFont="1" applyFill="1" applyBorder="1"/>
    <xf numFmtId="0" fontId="0" fillId="0" borderId="1" xfId="0" applyFill="1" applyBorder="1" applyAlignment="1">
      <alignment horizontal="center"/>
    </xf>
    <xf numFmtId="43" fontId="14" fillId="0" borderId="1" xfId="1" applyFont="1" applyFill="1" applyBorder="1" applyAlignment="1">
      <alignment horizontal="right"/>
    </xf>
    <xf numFmtId="43" fontId="14" fillId="0" borderId="1" xfId="0" applyNumberFormat="1" applyFont="1" applyFill="1" applyBorder="1" applyAlignment="1">
      <alignment horizontal="right"/>
    </xf>
    <xf numFmtId="0" fontId="14" fillId="0" borderId="1" xfId="0" applyFont="1" applyFill="1" applyBorder="1" applyAlignment="1">
      <alignment horizontal="right"/>
    </xf>
    <xf numFmtId="0" fontId="39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23" fillId="0" borderId="2" xfId="8" applyFont="1" applyFill="1" applyBorder="1" applyAlignment="1">
      <alignment horizontal="center"/>
    </xf>
    <xf numFmtId="0" fontId="23" fillId="0" borderId="4" xfId="8" applyFont="1" applyFill="1" applyBorder="1" applyAlignment="1">
      <alignment horizontal="center"/>
    </xf>
    <xf numFmtId="0" fontId="15" fillId="0" borderId="1" xfId="8" applyFont="1" applyFill="1" applyBorder="1" applyAlignment="1">
      <alignment horizontal="center" vertical="center"/>
    </xf>
    <xf numFmtId="0" fontId="15" fillId="0" borderId="1" xfId="8" applyFont="1" applyFill="1" applyBorder="1" applyAlignment="1">
      <alignment horizontal="left" vertical="center" wrapText="1"/>
    </xf>
    <xf numFmtId="0" fontId="15" fillId="0" borderId="10" xfId="8" applyFont="1" applyFill="1" applyBorder="1" applyAlignment="1">
      <alignment horizontal="left" vertical="center" wrapText="1"/>
    </xf>
    <xf numFmtId="0" fontId="15" fillId="0" borderId="13" xfId="8" applyFont="1" applyFill="1" applyBorder="1" applyAlignment="1">
      <alignment horizontal="left" vertical="center" wrapText="1"/>
    </xf>
    <xf numFmtId="0" fontId="15" fillId="0" borderId="14" xfId="8" applyFont="1" applyFill="1" applyBorder="1" applyAlignment="1">
      <alignment horizontal="left" vertical="center" wrapText="1"/>
    </xf>
    <xf numFmtId="0" fontId="23" fillId="0" borderId="15" xfId="8" applyFont="1" applyFill="1" applyBorder="1" applyAlignment="1">
      <alignment horizontal="center"/>
    </xf>
    <xf numFmtId="0" fontId="23" fillId="0" borderId="8" xfId="8" applyFont="1" applyFill="1" applyBorder="1" applyAlignment="1">
      <alignment horizontal="center"/>
    </xf>
    <xf numFmtId="0" fontId="23" fillId="0" borderId="14" xfId="8" applyFont="1" applyFill="1" applyBorder="1" applyAlignment="1">
      <alignment horizontal="center"/>
    </xf>
    <xf numFmtId="0" fontId="23" fillId="0" borderId="1" xfId="8" applyFont="1" applyFill="1" applyBorder="1" applyAlignment="1">
      <alignment horizontal="center"/>
    </xf>
    <xf numFmtId="0" fontId="15" fillId="0" borderId="10" xfId="8" applyFont="1" applyFill="1" applyBorder="1" applyAlignment="1">
      <alignment vertical="center" wrapText="1"/>
    </xf>
    <xf numFmtId="0" fontId="15" fillId="0" borderId="14" xfId="8" applyFont="1" applyFill="1" applyBorder="1" applyAlignment="1">
      <alignment vertical="center" wrapText="1"/>
    </xf>
    <xf numFmtId="0" fontId="15" fillId="0" borderId="6" xfId="8" applyFont="1" applyFill="1" applyBorder="1" applyAlignment="1">
      <alignment horizontal="left" vertical="center"/>
    </xf>
    <xf numFmtId="0" fontId="15" fillId="0" borderId="12" xfId="8" applyFont="1" applyFill="1" applyBorder="1" applyAlignment="1">
      <alignment horizontal="left" vertical="center"/>
    </xf>
    <xf numFmtId="0" fontId="15" fillId="0" borderId="15" xfId="8" applyFont="1" applyFill="1" applyBorder="1" applyAlignment="1">
      <alignment horizontal="left" vertical="center"/>
    </xf>
    <xf numFmtId="0" fontId="15" fillId="0" borderId="7" xfId="8" applyFont="1" applyFill="1" applyBorder="1" applyAlignment="1">
      <alignment vertical="top" wrapText="1"/>
    </xf>
    <xf numFmtId="0" fontId="15" fillId="0" borderId="9" xfId="8" applyFont="1" applyFill="1" applyBorder="1" applyAlignment="1">
      <alignment vertical="top" wrapText="1"/>
    </xf>
    <xf numFmtId="0" fontId="15" fillId="0" borderId="5" xfId="8" applyFont="1" applyFill="1" applyBorder="1" applyAlignment="1">
      <alignment vertical="top" wrapText="1"/>
    </xf>
    <xf numFmtId="0" fontId="15" fillId="0" borderId="13" xfId="8" applyFont="1" applyFill="1" applyBorder="1" applyAlignment="1">
      <alignment vertical="center" wrapText="1"/>
    </xf>
    <xf numFmtId="0" fontId="23" fillId="0" borderId="3" xfId="8" applyFont="1" applyFill="1" applyBorder="1" applyAlignment="1">
      <alignment horizontal="center"/>
    </xf>
    <xf numFmtId="0" fontId="15" fillId="0" borderId="1" xfId="8" applyFont="1" applyFill="1" applyBorder="1" applyAlignment="1">
      <alignment horizontal="center" vertical="center" wrapText="1"/>
    </xf>
    <xf numFmtId="0" fontId="15" fillId="0" borderId="6" xfId="8" applyFont="1" applyFill="1" applyBorder="1" applyAlignment="1">
      <alignment horizontal="center" vertical="center"/>
    </xf>
    <xf numFmtId="0" fontId="15" fillId="0" borderId="12" xfId="8" applyFont="1" applyFill="1" applyBorder="1" applyAlignment="1">
      <alignment horizontal="center" vertical="center"/>
    </xf>
    <xf numFmtId="0" fontId="15" fillId="0" borderId="15" xfId="8" applyFont="1" applyFill="1" applyBorder="1" applyAlignment="1">
      <alignment horizontal="center" vertical="center"/>
    </xf>
    <xf numFmtId="0" fontId="15" fillId="0" borderId="7" xfId="8" applyFont="1" applyFill="1" applyBorder="1" applyAlignment="1">
      <alignment horizontal="center" vertical="center"/>
    </xf>
    <xf numFmtId="0" fontId="15" fillId="0" borderId="5" xfId="8" applyFont="1" applyFill="1" applyBorder="1" applyAlignment="1">
      <alignment horizontal="center" vertical="center"/>
    </xf>
    <xf numFmtId="43" fontId="12" fillId="0" borderId="2" xfId="1" applyFont="1" applyFill="1" applyBorder="1" applyAlignment="1">
      <alignment horizontal="center"/>
    </xf>
    <xf numFmtId="43" fontId="12" fillId="0" borderId="4" xfId="1" applyFont="1" applyFill="1" applyBorder="1" applyAlignment="1">
      <alignment horizontal="center"/>
    </xf>
    <xf numFmtId="0" fontId="12" fillId="0" borderId="2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43" fontId="7" fillId="0" borderId="2" xfId="1" applyFont="1" applyFill="1" applyBorder="1"/>
    <xf numFmtId="43" fontId="7" fillId="0" borderId="4" xfId="1" applyFont="1" applyFill="1" applyBorder="1"/>
    <xf numFmtId="0" fontId="12" fillId="0" borderId="1" xfId="0" applyFont="1" applyFill="1" applyBorder="1" applyAlignment="1">
      <alignment horizontal="left" wrapText="1"/>
    </xf>
    <xf numFmtId="43" fontId="3" fillId="0" borderId="0" xfId="1" applyFont="1" applyFill="1" applyBorder="1" applyAlignment="1">
      <alignment horizontal="center" vertical="center"/>
    </xf>
    <xf numFmtId="43" fontId="11" fillId="0" borderId="1" xfId="1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wrapText="1"/>
    </xf>
    <xf numFmtId="0" fontId="11" fillId="0" borderId="3" xfId="0" applyFont="1" applyFill="1" applyBorder="1" applyAlignment="1">
      <alignment horizontal="center" wrapText="1"/>
    </xf>
    <xf numFmtId="0" fontId="11" fillId="0" borderId="4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43" fontId="11" fillId="0" borderId="2" xfId="1" applyFont="1" applyFill="1" applyBorder="1" applyAlignment="1">
      <alignment horizontal="center"/>
    </xf>
    <xf numFmtId="43" fontId="11" fillId="0" borderId="4" xfId="1" applyFont="1" applyFill="1" applyBorder="1" applyAlignment="1">
      <alignment horizontal="center"/>
    </xf>
    <xf numFmtId="43" fontId="13" fillId="0" borderId="2" xfId="1" applyFont="1" applyFill="1" applyBorder="1"/>
    <xf numFmtId="43" fontId="13" fillId="0" borderId="4" xfId="1" applyFont="1" applyFill="1" applyBorder="1"/>
    <xf numFmtId="43" fontId="7" fillId="0" borderId="2" xfId="1" applyFont="1" applyFill="1" applyBorder="1" applyAlignment="1">
      <alignment horizontal="center"/>
    </xf>
    <xf numFmtId="43" fontId="7" fillId="0" borderId="4" xfId="1" applyFont="1" applyFill="1" applyBorder="1" applyAlignment="1">
      <alignment horizontal="center"/>
    </xf>
    <xf numFmtId="0" fontId="11" fillId="0" borderId="2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7" fillId="0" borderId="0" xfId="0" applyFont="1"/>
    <xf numFmtId="0" fontId="39" fillId="0" borderId="1" xfId="0" applyFont="1" applyBorder="1" applyAlignment="1">
      <alignment horizontal="center"/>
    </xf>
    <xf numFmtId="43" fontId="16" fillId="0" borderId="1" xfId="1" applyFont="1" applyBorder="1"/>
    <xf numFmtId="0" fontId="16" fillId="0" borderId="1" xfId="0" applyFont="1" applyBorder="1" applyAlignment="1">
      <alignment horizontal="center"/>
    </xf>
    <xf numFmtId="0" fontId="14" fillId="0" borderId="1" xfId="0" applyFont="1" applyBorder="1"/>
    <xf numFmtId="43" fontId="14" fillId="0" borderId="1" xfId="0" applyNumberFormat="1" applyFont="1" applyBorder="1"/>
    <xf numFmtId="43" fontId="14" fillId="0" borderId="1" xfId="1" applyFont="1" applyBorder="1" applyAlignment="1">
      <alignment horizontal="right"/>
    </xf>
    <xf numFmtId="43" fontId="14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0" fontId="16" fillId="0" borderId="1" xfId="0" applyFont="1" applyBorder="1"/>
  </cellXfs>
  <cellStyles count="21">
    <cellStyle name="Comma" xfId="1" builtinId="3"/>
    <cellStyle name="Comma 2" xfId="12"/>
    <cellStyle name="Comma 2 2" xfId="3"/>
    <cellStyle name="Comma 3" xfId="13"/>
    <cellStyle name="Comma 3 2" xfId="14"/>
    <cellStyle name="Comma 4" xfId="15"/>
    <cellStyle name="Comma 4 2" xfId="6"/>
    <cellStyle name="Comma 5" xfId="11"/>
    <cellStyle name="Comma 6" xfId="16"/>
    <cellStyle name="Comma 7" xfId="4"/>
    <cellStyle name="Comma 8" xfId="17"/>
    <cellStyle name="Comma 9" xfId="9"/>
    <cellStyle name="Excel Built-in Comma" xfId="7"/>
    <cellStyle name="Normal" xfId="0" builtinId="0"/>
    <cellStyle name="Normal 2" xfId="10"/>
    <cellStyle name="Normal 2 2" xfId="18"/>
    <cellStyle name="Normal 2 2 2" xfId="2"/>
    <cellStyle name="Normal 3" xfId="19"/>
    <cellStyle name="Normal 3 2" xfId="5"/>
    <cellStyle name="Normal 4" xfId="20"/>
    <cellStyle name="Normal 5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399031919876852E-2"/>
          <c:y val="0.13940912073490824"/>
          <c:w val="0.78146312447487976"/>
          <c:h val="0.6310816929134059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  <a:ln w="31750">
              <a:solidFill>
                <a:schemeClr val="tx1"/>
              </a:solidFill>
            </a:ln>
          </c:spPr>
          <c:invertIfNegative val="0"/>
          <c:cat>
            <c:strRef>
              <c:f>'ANNEXURE 3'!$F$34:$F$43</c:f>
              <c:strCache>
                <c:ptCount val="10"/>
                <c:pt idx="0">
                  <c:v>SHARE OF FAAC</c:v>
                </c:pt>
                <c:pt idx="1">
                  <c:v>SHARE OF VAT</c:v>
                </c:pt>
                <c:pt idx="2">
                  <c:v>FOREIGN LOAN</c:v>
                </c:pt>
                <c:pt idx="3">
                  <c:v>TAX REVENUE</c:v>
                </c:pt>
                <c:pt idx="4">
                  <c:v>OTHER STATUTORY REVENUE</c:v>
                </c:pt>
                <c:pt idx="5">
                  <c:v>NON TAX REVENUE</c:v>
                </c:pt>
                <c:pt idx="6">
                  <c:v>DOMESTIC LOAN</c:v>
                </c:pt>
                <c:pt idx="7">
                  <c:v>TRANSFERS</c:v>
                </c:pt>
                <c:pt idx="8">
                  <c:v>OTHER REVENUE</c:v>
                </c:pt>
                <c:pt idx="9">
                  <c:v>AIDS &amp; GRANTS</c:v>
                </c:pt>
              </c:strCache>
            </c:strRef>
          </c:cat>
          <c:val>
            <c:numRef>
              <c:f>'ANNEXURE 3'!$G$34:$G$43</c:f>
              <c:numCache>
                <c:formatCode>_(* #,##0.00_);_(* \(#,##0.00\);_(* "-"??_);_(@_)</c:formatCode>
                <c:ptCount val="10"/>
                <c:pt idx="0">
                  <c:v>38.019908660690007</c:v>
                </c:pt>
                <c:pt idx="1">
                  <c:v>10.214624926439999</c:v>
                </c:pt>
                <c:pt idx="2">
                  <c:v>9.7095511410800004</c:v>
                </c:pt>
                <c:pt idx="3">
                  <c:v>7.1493081423499998</c:v>
                </c:pt>
                <c:pt idx="4">
                  <c:v>6.0091759795999993</c:v>
                </c:pt>
                <c:pt idx="5">
                  <c:v>4.7998467153199993</c:v>
                </c:pt>
                <c:pt idx="6">
                  <c:v>0.28749999999999998</c:v>
                </c:pt>
                <c:pt idx="7">
                  <c:v>0.22500000000000001</c:v>
                </c:pt>
                <c:pt idx="8">
                  <c:v>0.24672238181</c:v>
                </c:pt>
                <c:pt idx="9">
                  <c:v>5.4468950000000002E-2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320457248"/>
        <c:axId val="392845792"/>
      </c:barChart>
      <c:catAx>
        <c:axId val="3204572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392845792"/>
        <c:crosses val="autoZero"/>
        <c:auto val="1"/>
        <c:lblAlgn val="ctr"/>
        <c:lblOffset val="100"/>
        <c:noMultiLvlLbl val="0"/>
      </c:catAx>
      <c:valAx>
        <c:axId val="392845792"/>
        <c:scaling>
          <c:orientation val="minMax"/>
        </c:scaling>
        <c:delete val="0"/>
        <c:axPos val="l"/>
        <c:majorGridlines/>
        <c:numFmt formatCode="_(* #,##0.00_);_(* \(#,##0.00\);_(* &quot;-&quot;??_);_(@_)" sourceLinked="1"/>
        <c:majorTickMark val="out"/>
        <c:minorTickMark val="none"/>
        <c:tickLblPos val="nextTo"/>
        <c:crossAx val="3204572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 orientation="landscape" horizontalDpi="-1" verticalDpi="-1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REVENUE</a:t>
            </a:r>
          </a:p>
        </c:rich>
      </c:tx>
      <c:layout>
        <c:manualLayout>
          <c:xMode val="edge"/>
          <c:yMode val="edge"/>
          <c:x val="0.34015616797901188"/>
          <c:y val="1.5384615384615647E-2"/>
        </c:manualLayout>
      </c:layout>
      <c:overlay val="0"/>
    </c:title>
    <c:autoTitleDeleted val="0"/>
    <c:view3D>
      <c:rotX val="7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9535587614282894E-2"/>
          <c:y val="0.24792687372411781"/>
          <c:w val="0.60214862236463085"/>
          <c:h val="0.67532662583843683"/>
        </c:manualLayout>
      </c:layout>
      <c:pie3DChart>
        <c:varyColors val="1"/>
        <c:ser>
          <c:idx val="1"/>
          <c:order val="1"/>
          <c:dPt>
            <c:idx val="0"/>
            <c:bubble3D val="0"/>
            <c:spPr>
              <a:solidFill>
                <a:srgbClr val="FF0000"/>
              </a:solidFill>
            </c:spPr>
          </c:dPt>
          <c:dPt>
            <c:idx val="1"/>
            <c:bubble3D val="0"/>
            <c:explosion val="20"/>
            <c:spPr>
              <a:solidFill>
                <a:schemeClr val="tx1"/>
              </a:solidFill>
            </c:spPr>
          </c:dPt>
          <c:cat>
            <c:strRef>
              <c:f>'ANNEXURE 3'!$C$7:$C$8</c:f>
              <c:strCache>
                <c:ptCount val="2"/>
                <c:pt idx="0">
                  <c:v>RECURRENT REVENUE</c:v>
                </c:pt>
                <c:pt idx="1">
                  <c:v>CAPITAL RECEIPTS</c:v>
                </c:pt>
              </c:strCache>
            </c:strRef>
          </c:cat>
          <c:val>
            <c:numRef>
              <c:f>'ANNEXURE 3'!$D$7:$D$8</c:f>
              <c:numCache>
                <c:formatCode>_(* #,##0_);_(* \(#,##0\);_(* "-"??_);_(@_)</c:formatCode>
                <c:ptCount val="2"/>
                <c:pt idx="0">
                  <c:v>66.719055756209997</c:v>
                </c:pt>
                <c:pt idx="1">
                  <c:v>9.99705114108</c:v>
                </c:pt>
              </c:numCache>
            </c:numRef>
          </c:val>
        </c:ser>
        <c:ser>
          <c:idx val="0"/>
          <c:order val="0"/>
          <c:tx>
            <c:v>EXPENDITURE</c:v>
          </c:tx>
          <c:explosion val="25"/>
          <c:dPt>
            <c:idx val="0"/>
            <c:bubble3D val="0"/>
            <c:spPr>
              <a:solidFill>
                <a:schemeClr val="tx1"/>
              </a:solidFill>
            </c:spPr>
          </c:dPt>
          <c:dPt>
            <c:idx val="1"/>
            <c:bubble3D val="0"/>
            <c:explosion val="0"/>
          </c:dPt>
          <c:cat>
            <c:strRef>
              <c:f>#REF!</c:f>
              <c:strCache>
                <c:ptCount val="2"/>
                <c:pt idx="0">
                  <c:v>RECURRENT </c:v>
                </c:pt>
                <c:pt idx="1">
                  <c:v>CAPITAL </c:v>
                </c:pt>
              </c:strCache>
            </c:strRef>
          </c:cat>
          <c:val>
            <c:numRef>
              <c:f>#REF!</c:f>
              <c:numCache>
                <c:formatCode>_(* #,##0_);_(* \(#,##0\);_(* "-"??_);_(@_)</c:formatCode>
                <c:ptCount val="2"/>
                <c:pt idx="0">
                  <c:v>74.803953943110059</c:v>
                </c:pt>
                <c:pt idx="1">
                  <c:v>33.734118870410029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EXPENDITURE</a:t>
            </a:r>
          </a:p>
        </c:rich>
      </c:tx>
      <c:layout>
        <c:manualLayout>
          <c:xMode val="edge"/>
          <c:yMode val="edge"/>
          <c:x val="0.34015616797901205"/>
          <c:y val="1.5384615384615651E-2"/>
        </c:manualLayout>
      </c:layout>
      <c:overlay val="0"/>
    </c:title>
    <c:autoTitleDeleted val="0"/>
    <c:view3D>
      <c:rotX val="7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9535587614282894E-2"/>
          <c:y val="0.24792687372411781"/>
          <c:w val="0.60214862236463118"/>
          <c:h val="0.67532662583843683"/>
        </c:manualLayout>
      </c:layout>
      <c:pie3DChart>
        <c:varyColors val="1"/>
        <c:ser>
          <c:idx val="2"/>
          <c:order val="2"/>
          <c:spPr>
            <a:solidFill>
              <a:srgbClr val="FF0000"/>
            </a:solidFill>
          </c:spPr>
          <c:explosion val="4"/>
          <c:dPt>
            <c:idx val="0"/>
            <c:bubble3D val="0"/>
            <c:explosion val="0"/>
          </c:dPt>
          <c:dPt>
            <c:idx val="1"/>
            <c:bubble3D val="0"/>
            <c:explosion val="12"/>
            <c:spPr>
              <a:solidFill>
                <a:schemeClr val="tx1"/>
              </a:solidFill>
            </c:spPr>
          </c:dPt>
          <c:cat>
            <c:strRef>
              <c:f>'ANNEXURE 3'!$C$11:$C$12</c:f>
              <c:strCache>
                <c:ptCount val="2"/>
                <c:pt idx="0">
                  <c:v>RECURRENT EXPENDITURE</c:v>
                </c:pt>
                <c:pt idx="1">
                  <c:v>CAPITAL EXPENDITURE</c:v>
                </c:pt>
              </c:strCache>
            </c:strRef>
          </c:cat>
          <c:val>
            <c:numRef>
              <c:f>'ANNEXURE 3'!$D$11:$D$12</c:f>
              <c:numCache>
                <c:formatCode>_(* #,##0_);_(* \(#,##0\);_(* "-"??_);_(@_)</c:formatCode>
                <c:ptCount val="2"/>
                <c:pt idx="0">
                  <c:v>74.803953943110002</c:v>
                </c:pt>
                <c:pt idx="1">
                  <c:v>33.734118870410001</c:v>
                </c:pt>
              </c:numCache>
            </c:numRef>
          </c:val>
        </c:ser>
        <c:ser>
          <c:idx val="1"/>
          <c:order val="1"/>
          <c:dPt>
            <c:idx val="0"/>
            <c:bubble3D val="0"/>
            <c:spPr>
              <a:solidFill>
                <a:schemeClr val="tx1"/>
              </a:solidFill>
            </c:spPr>
          </c:dPt>
          <c:dPt>
            <c:idx val="1"/>
            <c:bubble3D val="0"/>
            <c:explosion val="20"/>
          </c:dPt>
          <c:cat>
            <c:strRef>
              <c:f>'ANNEXURE 3'!$C$7:$C$8</c:f>
              <c:strCache>
                <c:ptCount val="2"/>
                <c:pt idx="0">
                  <c:v>RECURRENT REVENUE</c:v>
                </c:pt>
                <c:pt idx="1">
                  <c:v>CAPITAL RECEIPTS</c:v>
                </c:pt>
              </c:strCache>
            </c:strRef>
          </c:cat>
          <c:val>
            <c:numRef>
              <c:f>'ANNEXURE 3'!$D$7:$D$8</c:f>
              <c:numCache>
                <c:formatCode>_(* #,##0_);_(* \(#,##0\);_(* "-"??_);_(@_)</c:formatCode>
                <c:ptCount val="2"/>
                <c:pt idx="0">
                  <c:v>66.719055756209997</c:v>
                </c:pt>
                <c:pt idx="1">
                  <c:v>9.99705114108</c:v>
                </c:pt>
              </c:numCache>
            </c:numRef>
          </c:val>
        </c:ser>
        <c:ser>
          <c:idx val="0"/>
          <c:order val="0"/>
          <c:tx>
            <c:v>EXPENDITURE</c:v>
          </c:tx>
          <c:explosion val="25"/>
          <c:dPt>
            <c:idx val="0"/>
            <c:bubble3D val="0"/>
            <c:spPr>
              <a:solidFill>
                <a:schemeClr val="tx1"/>
              </a:solidFill>
            </c:spPr>
          </c:dPt>
          <c:dPt>
            <c:idx val="1"/>
            <c:bubble3D val="0"/>
            <c:explosion val="0"/>
          </c:dPt>
          <c:cat>
            <c:strRef>
              <c:f>#REF!</c:f>
              <c:strCache>
                <c:ptCount val="2"/>
                <c:pt idx="0">
                  <c:v>RECURRENT </c:v>
                </c:pt>
                <c:pt idx="1">
                  <c:v>CAPITAL </c:v>
                </c:pt>
              </c:strCache>
            </c:strRef>
          </c:cat>
          <c:val>
            <c:numRef>
              <c:f>#REF!</c:f>
              <c:numCache>
                <c:formatCode>_(* #,##0_);_(* \(#,##0\);_(* "-"??_);_(@_)</c:formatCode>
                <c:ptCount val="2"/>
                <c:pt idx="0">
                  <c:v>74.803953943110059</c:v>
                </c:pt>
                <c:pt idx="1">
                  <c:v>33.734118870410029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'ANNEXURE 3'!$C$30:$E$30</c:f>
              <c:strCache>
                <c:ptCount val="3"/>
                <c:pt idx="0">
                  <c:v>2017</c:v>
                </c:pt>
              </c:strCache>
            </c:strRef>
          </c:tx>
          <c:spPr>
            <a:solidFill>
              <a:prstClr val="black"/>
            </a:solidFill>
          </c:spPr>
          <c:invertIfNegative val="0"/>
          <c:cat>
            <c:strRef>
              <c:f>'ANNEXURE 3'!$F$29:$G$29</c:f>
              <c:strCache>
                <c:ptCount val="2"/>
                <c:pt idx="0">
                  <c:v>RECURRENT</c:v>
                </c:pt>
                <c:pt idx="1">
                  <c:v>CAPITAL</c:v>
                </c:pt>
              </c:strCache>
            </c:strRef>
          </c:cat>
          <c:val>
            <c:numRef>
              <c:f>'ANNEXURE 3'!$F$30:$G$30</c:f>
              <c:numCache>
                <c:formatCode>_(* #,##0_);_(* \(#,##0\);_(* "-"??_);_(@_)</c:formatCode>
                <c:ptCount val="2"/>
                <c:pt idx="0">
                  <c:v>58135765434.620003</c:v>
                </c:pt>
                <c:pt idx="1">
                  <c:v>13353306731.450001</c:v>
                </c:pt>
              </c:numCache>
            </c:numRef>
          </c:val>
        </c:ser>
        <c:ser>
          <c:idx val="1"/>
          <c:order val="1"/>
          <c:tx>
            <c:strRef>
              <c:f>'ANNEXURE 3'!$C$31:$E$31</c:f>
              <c:strCache>
                <c:ptCount val="3"/>
                <c:pt idx="0">
                  <c:v>2018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'ANNEXURE 3'!$F$29:$G$29</c:f>
              <c:strCache>
                <c:ptCount val="2"/>
                <c:pt idx="0">
                  <c:v>RECURRENT</c:v>
                </c:pt>
                <c:pt idx="1">
                  <c:v>CAPITAL</c:v>
                </c:pt>
              </c:strCache>
            </c:strRef>
          </c:cat>
          <c:val>
            <c:numRef>
              <c:f>'ANNEXURE 3'!$F$31:$G$31</c:f>
              <c:numCache>
                <c:formatCode>_(* #,##0_);_(* \(#,##0\);_(* "-"??_);_(@_)</c:formatCode>
                <c:ptCount val="2"/>
                <c:pt idx="0">
                  <c:v>66492183786.270004</c:v>
                </c:pt>
                <c:pt idx="1">
                  <c:v>11966138376.610001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92841872"/>
        <c:axId val="392841480"/>
        <c:axId val="0"/>
      </c:bar3DChart>
      <c:catAx>
        <c:axId val="3928418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92841480"/>
        <c:crosses val="autoZero"/>
        <c:auto val="1"/>
        <c:lblAlgn val="ctr"/>
        <c:lblOffset val="100"/>
        <c:noMultiLvlLbl val="0"/>
      </c:catAx>
      <c:valAx>
        <c:axId val="392841480"/>
        <c:scaling>
          <c:orientation val="minMax"/>
        </c:scaling>
        <c:delete val="0"/>
        <c:axPos val="l"/>
        <c:majorGridlines/>
        <c:numFmt formatCode="_(* #,##0_);_(* \(#,##0\);_(* &quot;-&quot;??_);_(@_)" sourceLinked="1"/>
        <c:majorTickMark val="out"/>
        <c:minorTickMark val="none"/>
        <c:tickLblPos val="nextTo"/>
        <c:crossAx val="3928418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 orientation="landscape" horizontalDpi="-1" verticalDpi="-1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'ANNEXURE 3'!$C$26:$E$26</c:f>
              <c:strCache>
                <c:ptCount val="3"/>
                <c:pt idx="0">
                  <c:v>2017</c:v>
                </c:pt>
              </c:strCache>
            </c:strRef>
          </c:tx>
          <c:spPr>
            <a:solidFill>
              <a:prstClr val="black"/>
            </a:solidFill>
          </c:spPr>
          <c:invertIfNegative val="0"/>
          <c:cat>
            <c:strRef>
              <c:f>'ANNEXURE 3'!$F$25:$G$25</c:f>
              <c:strCache>
                <c:ptCount val="2"/>
                <c:pt idx="0">
                  <c:v>RECURRENT</c:v>
                </c:pt>
                <c:pt idx="1">
                  <c:v>CAPITAL</c:v>
                </c:pt>
              </c:strCache>
            </c:strRef>
          </c:cat>
          <c:val>
            <c:numRef>
              <c:f>'ANNEXURE 3'!$F$26:$G$26</c:f>
              <c:numCache>
                <c:formatCode>_(* #,##0_);_(* \(#,##0\);_(* "-"??_);_(@_)</c:formatCode>
                <c:ptCount val="2"/>
                <c:pt idx="0">
                  <c:v>56791187976.540001</c:v>
                </c:pt>
                <c:pt idx="1">
                  <c:v>12503926117.57</c:v>
                </c:pt>
              </c:numCache>
            </c:numRef>
          </c:val>
        </c:ser>
        <c:ser>
          <c:idx val="1"/>
          <c:order val="1"/>
          <c:tx>
            <c:strRef>
              <c:f>'ANNEXURE 3'!$C$27:$E$27</c:f>
              <c:strCache>
                <c:ptCount val="3"/>
                <c:pt idx="0">
                  <c:v>2018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'ANNEXURE 3'!$F$25:$G$25</c:f>
              <c:strCache>
                <c:ptCount val="2"/>
                <c:pt idx="0">
                  <c:v>RECURRENT</c:v>
                </c:pt>
                <c:pt idx="1">
                  <c:v>CAPITAL</c:v>
                </c:pt>
              </c:strCache>
            </c:strRef>
          </c:cat>
          <c:val>
            <c:numRef>
              <c:f>'ANNEXURE 3'!$F$27:$G$27</c:f>
              <c:numCache>
                <c:formatCode>_(* #,##0_);_(* \(#,##0\);_(* "-"??_);_(@_)</c:formatCode>
                <c:ptCount val="2"/>
                <c:pt idx="0">
                  <c:v>66719055756.209991</c:v>
                </c:pt>
                <c:pt idx="1">
                  <c:v>9997051141.0799999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92842656"/>
        <c:axId val="392843440"/>
        <c:axId val="0"/>
      </c:bar3DChart>
      <c:catAx>
        <c:axId val="3928426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92843440"/>
        <c:crosses val="autoZero"/>
        <c:auto val="1"/>
        <c:lblAlgn val="ctr"/>
        <c:lblOffset val="100"/>
        <c:noMultiLvlLbl val="0"/>
      </c:catAx>
      <c:valAx>
        <c:axId val="392843440"/>
        <c:scaling>
          <c:orientation val="minMax"/>
        </c:scaling>
        <c:delete val="0"/>
        <c:axPos val="l"/>
        <c:majorGridlines/>
        <c:numFmt formatCode="_(* #,##0_);_(* \(#,##0\);_(* &quot;-&quot;??_);_(@_)" sourceLinked="1"/>
        <c:majorTickMark val="out"/>
        <c:minorTickMark val="none"/>
        <c:tickLblPos val="nextTo"/>
        <c:crossAx val="3928426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0306536219349198E-2"/>
          <c:y val="0.11899197653674073"/>
          <c:w val="0.7635412477862521"/>
          <c:h val="0.63067069500713024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FF0000"/>
            </a:solidFill>
            <a:ln w="31750">
              <a:solidFill>
                <a:prstClr val="black"/>
              </a:solidFill>
            </a:ln>
          </c:spPr>
          <c:invertIfNegative val="0"/>
          <c:cat>
            <c:strRef>
              <c:f>'ANNEXURE 3'!$F$45:$F$56</c:f>
              <c:strCache>
                <c:ptCount val="12"/>
                <c:pt idx="0">
                  <c:v>SALARIES &amp; WAGES</c:v>
                </c:pt>
                <c:pt idx="1">
                  <c:v>SUBVENTION/GRANT</c:v>
                </c:pt>
                <c:pt idx="2">
                  <c:v>CAPITAL ASSETS</c:v>
                </c:pt>
                <c:pt idx="3">
                  <c:v>TRANSFER TO OTHER FUND</c:v>
                </c:pt>
                <c:pt idx="4">
                  <c:v>D. LOAN REPAYMENT</c:v>
                </c:pt>
                <c:pt idx="5">
                  <c:v>SOCIAL BENEFITS</c:v>
                </c:pt>
                <c:pt idx="6">
                  <c:v>PUBLIC DEBT CHARGES</c:v>
                </c:pt>
                <c:pt idx="7">
                  <c:v>OVERHEAD COST</c:v>
                </c:pt>
                <c:pt idx="8">
                  <c:v>F. LOAN REPAYMENT</c:v>
                </c:pt>
                <c:pt idx="9">
                  <c:v>ALLOWANCE</c:v>
                </c:pt>
                <c:pt idx="10">
                  <c:v>SOCIAL CONTRIBUTION</c:v>
                </c:pt>
                <c:pt idx="11">
                  <c:v>AIDS &amp; GRANTS</c:v>
                </c:pt>
              </c:strCache>
            </c:strRef>
          </c:cat>
          <c:val>
            <c:numRef>
              <c:f>'ANNEXURE 3'!$G$45:$G$56</c:f>
              <c:numCache>
                <c:formatCode>_(* #,##0.00_);_(* \(#,##0.00\);_(* "-"??_);_(@_)</c:formatCode>
                <c:ptCount val="12"/>
                <c:pt idx="0">
                  <c:v>18.450740807590002</c:v>
                </c:pt>
                <c:pt idx="1">
                  <c:v>14.595378328100001</c:v>
                </c:pt>
                <c:pt idx="2">
                  <c:v>11.966138376610001</c:v>
                </c:pt>
                <c:pt idx="3">
                  <c:v>12.35605409872</c:v>
                </c:pt>
                <c:pt idx="4">
                  <c:v>6.8651261534799994</c:v>
                </c:pt>
                <c:pt idx="5">
                  <c:v>5.2719399000900005</c:v>
                </c:pt>
                <c:pt idx="6">
                  <c:v>5.3253118027599999</c:v>
                </c:pt>
                <c:pt idx="7">
                  <c:v>2.6154562997799999</c:v>
                </c:pt>
                <c:pt idx="8">
                  <c:v>0.42319634428000003</c:v>
                </c:pt>
                <c:pt idx="9">
                  <c:v>0.42651110146999999</c:v>
                </c:pt>
                <c:pt idx="10">
                  <c:v>0.108</c:v>
                </c:pt>
                <c:pt idx="11">
                  <c:v>5.4468950000000002E-2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"/>
        <c:overlap val="100"/>
        <c:axId val="392843832"/>
        <c:axId val="392844224"/>
      </c:barChart>
      <c:catAx>
        <c:axId val="3928438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2700000" vert="horz"/>
          <a:lstStyle/>
          <a:p>
            <a:pPr>
              <a:defRPr sz="600" baseline="0">
                <a:latin typeface="+mn-lt"/>
              </a:defRPr>
            </a:pPr>
            <a:endParaRPr lang="en-US"/>
          </a:p>
        </c:txPr>
        <c:crossAx val="392844224"/>
        <c:crosses val="autoZero"/>
        <c:auto val="1"/>
        <c:lblAlgn val="ctr"/>
        <c:lblOffset val="100"/>
        <c:noMultiLvlLbl val="0"/>
      </c:catAx>
      <c:valAx>
        <c:axId val="392844224"/>
        <c:scaling>
          <c:orientation val="minMax"/>
        </c:scaling>
        <c:delete val="0"/>
        <c:axPos val="l"/>
        <c:majorGridlines/>
        <c:numFmt formatCode="_(* #,##0.00_);_(* \(#,##0.00\);_(* &quot;-&quot;??_);_(@_)" sourceLinked="1"/>
        <c:majorTickMark val="out"/>
        <c:minorTickMark val="none"/>
        <c:tickLblPos val="nextTo"/>
        <c:crossAx val="392843832"/>
        <c:crossesAt val="1"/>
        <c:crossBetween val="between"/>
      </c:valAx>
    </c:plotArea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 orientation="landscape" horizontalDpi="-1" verticalDpi="-1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36</xdr:row>
      <xdr:rowOff>57150</xdr:rowOff>
    </xdr:from>
    <xdr:to>
      <xdr:col>13</xdr:col>
      <xdr:colOff>19050</xdr:colOff>
      <xdr:row>51</xdr:row>
      <xdr:rowOff>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3</xdr:row>
      <xdr:rowOff>0</xdr:rowOff>
    </xdr:from>
    <xdr:to>
      <xdr:col>7</xdr:col>
      <xdr:colOff>0</xdr:colOff>
      <xdr:row>16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19050</xdr:colOff>
      <xdr:row>2</xdr:row>
      <xdr:rowOff>190499</xdr:rowOff>
    </xdr:from>
    <xdr:to>
      <xdr:col>13</xdr:col>
      <xdr:colOff>38100</xdr:colOff>
      <xdr:row>15</xdr:row>
      <xdr:rowOff>180974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20</xdr:row>
      <xdr:rowOff>0</xdr:rowOff>
    </xdr:from>
    <xdr:to>
      <xdr:col>13</xdr:col>
      <xdr:colOff>47625</xdr:colOff>
      <xdr:row>32</xdr:row>
      <xdr:rowOff>180975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200025</xdr:colOff>
      <xdr:row>20</xdr:row>
      <xdr:rowOff>9525</xdr:rowOff>
    </xdr:from>
    <xdr:to>
      <xdr:col>7</xdr:col>
      <xdr:colOff>9525</xdr:colOff>
      <xdr:row>32</xdr:row>
      <xdr:rowOff>161925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219073</xdr:colOff>
      <xdr:row>53</xdr:row>
      <xdr:rowOff>76200</xdr:rowOff>
    </xdr:from>
    <xdr:to>
      <xdr:col>12</xdr:col>
      <xdr:colOff>590549</xdr:colOff>
      <xdr:row>68</xdr:row>
      <xdr:rowOff>9525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0.39235</cdr:x>
      <cdr:y>0.02188</cdr:y>
    </cdr:from>
    <cdr:to>
      <cdr:x>0.64873</cdr:x>
      <cdr:y>0.09375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638424" y="66675"/>
          <a:ext cx="172402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0.50142</cdr:x>
      <cdr:y>0.09688</cdr:y>
    </cdr:from>
    <cdr:to>
      <cdr:x>0.63739</cdr:x>
      <cdr:y>0.39688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3371850" y="29527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33</xdr:row>
      <xdr:rowOff>19049</xdr:rowOff>
    </xdr:from>
    <xdr:to>
      <xdr:col>4</xdr:col>
      <xdr:colOff>161925</xdr:colOff>
      <xdr:row>35</xdr:row>
      <xdr:rowOff>285750</xdr:rowOff>
    </xdr:to>
    <xdr:sp macro="" textlink="">
      <xdr:nvSpPr>
        <xdr:cNvPr id="2" name="Right Brace 1"/>
        <xdr:cNvSpPr/>
      </xdr:nvSpPr>
      <xdr:spPr>
        <a:xfrm>
          <a:off x="5076825" y="10191749"/>
          <a:ext cx="142875" cy="895351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17</xdr:row>
      <xdr:rowOff>257175</xdr:rowOff>
    </xdr:from>
    <xdr:to>
      <xdr:col>4</xdr:col>
      <xdr:colOff>257175</xdr:colOff>
      <xdr:row>20</xdr:row>
      <xdr:rowOff>0</xdr:rowOff>
    </xdr:to>
    <xdr:sp macro="" textlink="">
      <xdr:nvSpPr>
        <xdr:cNvPr id="2" name="Right Brace 1"/>
        <xdr:cNvSpPr/>
      </xdr:nvSpPr>
      <xdr:spPr>
        <a:xfrm>
          <a:off x="5000625" y="5572125"/>
          <a:ext cx="247650" cy="6667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1374834</xdr:colOff>
      <xdr:row>17</xdr:row>
      <xdr:rowOff>0</xdr:rowOff>
    </xdr:from>
    <xdr:to>
      <xdr:col>4</xdr:col>
      <xdr:colOff>161745</xdr:colOff>
      <xdr:row>20</xdr:row>
      <xdr:rowOff>1</xdr:rowOff>
    </xdr:to>
    <xdr:sp macro="" textlink="">
      <xdr:nvSpPr>
        <xdr:cNvPr id="3" name="Right Brace 2"/>
        <xdr:cNvSpPr/>
      </xdr:nvSpPr>
      <xdr:spPr>
        <a:xfrm>
          <a:off x="4654669" y="5436439"/>
          <a:ext cx="170732" cy="952501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1186129</xdr:colOff>
      <xdr:row>8</xdr:row>
      <xdr:rowOff>341463</xdr:rowOff>
    </xdr:from>
    <xdr:to>
      <xdr:col>5</xdr:col>
      <xdr:colOff>233628</xdr:colOff>
      <xdr:row>13</xdr:row>
      <xdr:rowOff>320795</xdr:rowOff>
    </xdr:to>
    <xdr:sp macro="" textlink="">
      <xdr:nvSpPr>
        <xdr:cNvPr id="4" name="Right Brace 3"/>
        <xdr:cNvSpPr/>
      </xdr:nvSpPr>
      <xdr:spPr>
        <a:xfrm>
          <a:off x="6263134" y="2812571"/>
          <a:ext cx="359433" cy="1731573"/>
        </a:xfrm>
        <a:prstGeom prst="rightBrace">
          <a:avLst>
            <a:gd name="adj1" fmla="val 0"/>
            <a:gd name="adj2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1168160</xdr:colOff>
      <xdr:row>15</xdr:row>
      <xdr:rowOff>8985</xdr:rowOff>
    </xdr:from>
    <xdr:to>
      <xdr:col>5</xdr:col>
      <xdr:colOff>215659</xdr:colOff>
      <xdr:row>17</xdr:row>
      <xdr:rowOff>35943</xdr:rowOff>
    </xdr:to>
    <xdr:sp macro="" textlink="">
      <xdr:nvSpPr>
        <xdr:cNvPr id="5" name="Right Brace 4"/>
        <xdr:cNvSpPr/>
      </xdr:nvSpPr>
      <xdr:spPr>
        <a:xfrm>
          <a:off x="6245165" y="5652098"/>
          <a:ext cx="359433" cy="871628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1195118</xdr:colOff>
      <xdr:row>28</xdr:row>
      <xdr:rowOff>71887</xdr:rowOff>
    </xdr:from>
    <xdr:to>
      <xdr:col>5</xdr:col>
      <xdr:colOff>224645</xdr:colOff>
      <xdr:row>32</xdr:row>
      <xdr:rowOff>413349</xdr:rowOff>
    </xdr:to>
    <xdr:sp macro="" textlink="">
      <xdr:nvSpPr>
        <xdr:cNvPr id="7" name="Right Brace 6"/>
        <xdr:cNvSpPr/>
      </xdr:nvSpPr>
      <xdr:spPr>
        <a:xfrm>
          <a:off x="6272123" y="14161698"/>
          <a:ext cx="341461" cy="2030802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1195118</xdr:colOff>
      <xdr:row>32</xdr:row>
      <xdr:rowOff>413349</xdr:rowOff>
    </xdr:from>
    <xdr:to>
      <xdr:col>5</xdr:col>
      <xdr:colOff>242617</xdr:colOff>
      <xdr:row>37</xdr:row>
      <xdr:rowOff>0</xdr:rowOff>
    </xdr:to>
    <xdr:sp macro="" textlink="">
      <xdr:nvSpPr>
        <xdr:cNvPr id="8" name="Right Brace 7"/>
        <xdr:cNvSpPr/>
      </xdr:nvSpPr>
      <xdr:spPr>
        <a:xfrm>
          <a:off x="6272123" y="16192500"/>
          <a:ext cx="359433" cy="171629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19</xdr:row>
      <xdr:rowOff>26957</xdr:rowOff>
    </xdr:from>
    <xdr:to>
      <xdr:col>4</xdr:col>
      <xdr:colOff>206674</xdr:colOff>
      <xdr:row>22</xdr:row>
      <xdr:rowOff>188703</xdr:rowOff>
    </xdr:to>
    <xdr:sp macro="" textlink="">
      <xdr:nvSpPr>
        <xdr:cNvPr id="5" name="Right Brace 4"/>
        <xdr:cNvSpPr/>
      </xdr:nvSpPr>
      <xdr:spPr>
        <a:xfrm>
          <a:off x="4663656" y="5454410"/>
          <a:ext cx="206674" cy="781769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MAIN%20ACCOUNT\Desktop\2018%20FINAL%20old\2018%20FINAL%20%20ACCOUNT%20(NEW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S"/>
      <sheetName val="F. PERFORMANCE"/>
      <sheetName val="F. POSITION "/>
      <sheetName val="CASH FLOW"/>
      <sheetName val="CHANGE IN EQUITY"/>
      <sheetName val="BUDGET&amp;ACTUAL"/>
      <sheetName val="FAAC (1)"/>
      <sheetName val="VAT"/>
      <sheetName val="FAAC (2)"/>
      <sheetName val="FAAC DEDUC "/>
      <sheetName val="IGR"/>
      <sheetName val="NON TAX IGR"/>
      <sheetName val="OTHER REV."/>
      <sheetName val="SALARIES "/>
      <sheetName val="PERSONEL"/>
      <sheetName val="SOCIAL BENIFITS"/>
      <sheetName val="OVERHEAD"/>
      <sheetName val="TOF"/>
      <sheetName val="SUBVENTION"/>
      <sheetName val="DEPRECIATION "/>
      <sheetName val="DEPRECIATION B"/>
      <sheetName val="CAPITAL COST"/>
      <sheetName val="INTANGIBLE"/>
      <sheetName val="SALARIES (CASH)"/>
      <sheetName val="SOCIAL BENIFITS (CASH)"/>
      <sheetName val="OVERHEAD (CASH)"/>
      <sheetName val="TOF (CASH)"/>
      <sheetName val="SUBVENTION (CASH)"/>
      <sheetName val="CAPITAL (CASH)"/>
      <sheetName val="FOREIGN&amp;LLOCAL LOAN"/>
      <sheetName val="F LOANS REPYT "/>
      <sheetName val="D LOANS REPYT "/>
      <sheetName val="CASH BAL "/>
      <sheetName val="INVENTORIES "/>
      <sheetName val="REVOLVING LOAN "/>
      <sheetName val="FIXED ASSETS"/>
      <sheetName val="BOND SINKING "/>
      <sheetName val="PPE "/>
      <sheetName val="WIP"/>
      <sheetName val="ACCRUALS"/>
      <sheetName val="ANNEXURE 1"/>
      <sheetName val="ANNEXURE 2"/>
      <sheetName val="ANNEXURE 3"/>
      <sheetName val="ANNEXURE 4"/>
      <sheetName val="ANNEXURE 3 (2)"/>
      <sheetName val="LOANS REPYT (3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61">
          <cell r="M61">
            <v>3718142795.5599999</v>
          </cell>
          <cell r="R61">
            <v>6977112832.4799986</v>
          </cell>
        </row>
        <row r="66">
          <cell r="M66">
            <v>994384841.87</v>
          </cell>
          <cell r="R66">
            <v>1421215270.0100002</v>
          </cell>
        </row>
        <row r="97">
          <cell r="M97">
            <v>12946711041.110001</v>
          </cell>
          <cell r="R97">
            <v>8505470838.3299999</v>
          </cell>
        </row>
        <row r="107">
          <cell r="M107">
            <v>12458744.32</v>
          </cell>
          <cell r="R107">
            <v>49965165.659999996</v>
          </cell>
        </row>
        <row r="126">
          <cell r="M126">
            <v>5821230835.4899998</v>
          </cell>
          <cell r="R126">
            <v>7796125725.6900005</v>
          </cell>
        </row>
        <row r="132">
          <cell r="M132">
            <v>30869706.039999999</v>
          </cell>
          <cell r="R132">
            <v>1306863158.4100001</v>
          </cell>
        </row>
        <row r="138">
          <cell r="M138">
            <v>50731091.849999994</v>
          </cell>
          <cell r="R138">
            <v>122912937.14</v>
          </cell>
        </row>
        <row r="146">
          <cell r="M146">
            <v>681546554.29999995</v>
          </cell>
          <cell r="R146">
            <v>1204780392.49</v>
          </cell>
        </row>
        <row r="150">
          <cell r="M150">
            <v>2400000</v>
          </cell>
          <cell r="R150">
            <v>4803380.34</v>
          </cell>
        </row>
        <row r="153">
          <cell r="M153">
            <v>1025319698</v>
          </cell>
          <cell r="R153">
            <v>1387216870.3399999</v>
          </cell>
        </row>
        <row r="179">
          <cell r="M179">
            <v>522293241.08999997</v>
          </cell>
          <cell r="R179">
            <v>3385889173.9700003</v>
          </cell>
        </row>
        <row r="182">
          <cell r="M182">
            <v>683635710</v>
          </cell>
          <cell r="R182">
            <v>877093638.52999997</v>
          </cell>
        </row>
        <row r="188">
          <cell r="M188">
            <v>474077224.82999998</v>
          </cell>
          <cell r="R188">
            <v>1115967762.3799999</v>
          </cell>
        </row>
        <row r="198">
          <cell r="M198">
            <v>191287292.68000001</v>
          </cell>
          <cell r="R198">
            <v>517596021.56</v>
          </cell>
        </row>
        <row r="201">
          <cell r="M201">
            <v>325138157.30000001</v>
          </cell>
          <cell r="R201">
            <v>322630338.68000001</v>
          </cell>
        </row>
        <row r="206">
          <cell r="M206">
            <v>6709636011.5600004</v>
          </cell>
          <cell r="R206">
            <v>13891165670.27</v>
          </cell>
        </row>
        <row r="209">
          <cell r="M209">
            <v>624000</v>
          </cell>
          <cell r="R209">
            <v>1466182.38</v>
          </cell>
        </row>
        <row r="211">
          <cell r="M211">
            <v>21975000</v>
          </cell>
          <cell r="R211">
            <v>48061521.149999999</v>
          </cell>
        </row>
        <row r="217">
          <cell r="M217">
            <v>362343715.44999999</v>
          </cell>
          <cell r="R217">
            <v>905778982.08000004</v>
          </cell>
        </row>
        <row r="222">
          <cell r="M222">
            <v>145544082.34</v>
          </cell>
          <cell r="R222">
            <v>210264958.81999999</v>
          </cell>
        </row>
        <row r="225">
          <cell r="M225">
            <v>264405704.55000001</v>
          </cell>
          <cell r="R225">
            <v>736294412.38</v>
          </cell>
        </row>
        <row r="234">
          <cell r="M234">
            <v>295135249.58000004</v>
          </cell>
          <cell r="R234">
            <v>636615882.75</v>
          </cell>
        </row>
        <row r="244">
          <cell r="M244">
            <v>85840337.600000009</v>
          </cell>
          <cell r="R244">
            <v>293368360.63999993</v>
          </cell>
        </row>
        <row r="251">
          <cell r="M251">
            <v>2749876412.8500004</v>
          </cell>
          <cell r="R251">
            <v>1029591074.24</v>
          </cell>
        </row>
        <row r="259">
          <cell r="M259">
            <v>375755177.86000001</v>
          </cell>
          <cell r="R259">
            <v>959893294.67999995</v>
          </cell>
        </row>
        <row r="265">
          <cell r="M265">
            <v>5583945024.5699997</v>
          </cell>
          <cell r="R265">
            <v>6585260193.9399996</v>
          </cell>
        </row>
        <row r="269">
          <cell r="M269">
            <v>471647392.20999998</v>
          </cell>
          <cell r="R269">
            <v>655051651.32000005</v>
          </cell>
        </row>
        <row r="281">
          <cell r="M281">
            <v>236075970.84</v>
          </cell>
          <cell r="R281">
            <v>196593974.72</v>
          </cell>
        </row>
        <row r="292">
          <cell r="M292">
            <v>168517050.70999998</v>
          </cell>
          <cell r="R292">
            <v>718712919.11999989</v>
          </cell>
        </row>
        <row r="294">
          <cell r="M294">
            <v>0</v>
          </cell>
          <cell r="R294">
            <v>1500000</v>
          </cell>
        </row>
        <row r="297">
          <cell r="M297">
            <v>24480497.399999999</v>
          </cell>
          <cell r="R297">
            <v>88100219.109999999</v>
          </cell>
        </row>
        <row r="303">
          <cell r="M303">
            <v>584499020.60000002</v>
          </cell>
          <cell r="R303">
            <v>2537496626.3200002</v>
          </cell>
        </row>
        <row r="305">
          <cell r="M305">
            <v>9087484631.5700016</v>
          </cell>
          <cell r="R305">
            <v>10417789428.889999</v>
          </cell>
        </row>
        <row r="307">
          <cell r="M307">
            <v>2744703000</v>
          </cell>
          <cell r="R307">
            <v>4268921949.6100001</v>
          </cell>
        </row>
        <row r="309">
          <cell r="M309">
            <v>7306212296</v>
          </cell>
          <cell r="R309">
            <v>7451125264.1199999</v>
          </cell>
        </row>
        <row r="322">
          <cell r="M322">
            <v>2246368412.6700001</v>
          </cell>
          <cell r="R322">
            <v>3578904234.0299997</v>
          </cell>
        </row>
        <row r="325">
          <cell r="M325">
            <v>3569509287.4900002</v>
          </cell>
          <cell r="R325">
            <v>4061177298.23</v>
          </cell>
        </row>
        <row r="332">
          <cell r="M332">
            <v>395511760.17000002</v>
          </cell>
          <cell r="R332">
            <v>732715840.42000008</v>
          </cell>
        </row>
        <row r="333">
          <cell r="M333">
            <v>7288322497.7599993</v>
          </cell>
          <cell r="R333">
            <v>12022863958.4</v>
          </cell>
        </row>
        <row r="335">
          <cell r="M335">
            <v>715699581.29999995</v>
          </cell>
        </row>
        <row r="336">
          <cell r="R336">
            <v>1444954932.4000001</v>
          </cell>
        </row>
        <row r="337">
          <cell r="M337">
            <v>45884272.840000004</v>
          </cell>
          <cell r="R337">
            <v>68760477.489999995</v>
          </cell>
        </row>
        <row r="338">
          <cell r="M338">
            <v>-501901159.48000002</v>
          </cell>
        </row>
      </sheetData>
      <sheetData sheetId="42"/>
      <sheetData sheetId="43"/>
      <sheetData sheetId="44"/>
      <sheetData sheetId="4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workbookViewId="0">
      <selection activeCell="P1" sqref="P1"/>
    </sheetView>
  </sheetViews>
  <sheetFormatPr defaultRowHeight="15"/>
  <cols>
    <col min="1" max="1" width="9.140625" style="74"/>
    <col min="2" max="2" width="3.28515625" customWidth="1"/>
  </cols>
  <sheetData>
    <row r="1" spans="5:11" ht="25.5">
      <c r="E1" s="573" t="s">
        <v>1419</v>
      </c>
      <c r="F1" s="573"/>
      <c r="G1" s="573"/>
      <c r="H1" s="573"/>
      <c r="I1" s="573"/>
      <c r="J1" s="573"/>
      <c r="K1" s="573"/>
    </row>
    <row r="19" spans="3:13">
      <c r="C19" s="575"/>
      <c r="D19" s="575"/>
      <c r="E19" s="575"/>
      <c r="F19" s="575"/>
    </row>
    <row r="20" spans="3:13" ht="23.25">
      <c r="C20" s="576" t="s">
        <v>1418</v>
      </c>
      <c r="D20" s="576"/>
      <c r="E20" s="576"/>
      <c r="F20" s="576"/>
      <c r="G20" s="576"/>
      <c r="I20" s="574" t="s">
        <v>988</v>
      </c>
      <c r="J20" s="574"/>
      <c r="K20" s="574"/>
      <c r="L20" s="574"/>
      <c r="M20" s="574"/>
    </row>
    <row r="35" spans="3:13" ht="13.5" customHeight="1"/>
    <row r="36" spans="3:13" ht="23.25">
      <c r="C36" s="574" t="s">
        <v>4</v>
      </c>
      <c r="D36" s="574"/>
      <c r="E36" s="574"/>
      <c r="F36" s="574"/>
      <c r="G36" s="574"/>
      <c r="H36" s="574"/>
      <c r="I36" s="574"/>
      <c r="J36" s="574"/>
      <c r="K36" s="574"/>
      <c r="L36" s="574"/>
      <c r="M36" s="574"/>
    </row>
    <row r="52" spans="3:13" ht="10.5" customHeight="1"/>
    <row r="53" spans="3:13" ht="21.75" customHeight="1">
      <c r="C53" s="574" t="s">
        <v>988</v>
      </c>
      <c r="D53" s="574"/>
      <c r="E53" s="574"/>
      <c r="F53" s="574"/>
      <c r="G53" s="574"/>
      <c r="H53" s="574"/>
      <c r="I53" s="574"/>
      <c r="J53" s="574"/>
      <c r="K53" s="574"/>
      <c r="L53" s="574"/>
      <c r="M53" s="574"/>
    </row>
  </sheetData>
  <mergeCells count="6">
    <mergeCell ref="E1:K1"/>
    <mergeCell ref="C36:M36"/>
    <mergeCell ref="C53:M53"/>
    <mergeCell ref="C19:F19"/>
    <mergeCell ref="C20:G20"/>
    <mergeCell ref="I20:M20"/>
  </mergeCells>
  <pageMargins left="0.5" right="0.5" top="0.75" bottom="0.25" header="0.3" footer="0.5"/>
  <pageSetup firstPageNumber="8" orientation="landscape" useFirstPageNumber="1" horizontalDpi="4294967295" verticalDpi="4294967295" r:id="rId1"/>
  <headerFooter>
    <oddHeader>&amp;CReport of the Accountant-General of Ekiti State for the year ended 31st December, 2018</oddHead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3"/>
  <sheetViews>
    <sheetView workbookViewId="0">
      <selection activeCell="B1" sqref="B1:H1"/>
    </sheetView>
  </sheetViews>
  <sheetFormatPr defaultRowHeight="15"/>
  <cols>
    <col min="1" max="1" width="2.85546875" customWidth="1"/>
    <col min="2" max="2" width="17.85546875" customWidth="1"/>
    <col min="3" max="3" width="33" customWidth="1"/>
    <col min="4" max="4" width="7.5703125" style="1" customWidth="1"/>
    <col min="5" max="6" width="18.7109375" customWidth="1"/>
    <col min="7" max="7" width="18.7109375" style="174" customWidth="1"/>
    <col min="8" max="8" width="18.7109375" customWidth="1"/>
    <col min="10" max="10" width="16.85546875" bestFit="1" customWidth="1"/>
  </cols>
  <sheetData>
    <row r="1" spans="2:9" s="73" customFormat="1" ht="24.95" customHeight="1">
      <c r="B1" s="577" t="s">
        <v>0</v>
      </c>
      <c r="C1" s="577"/>
      <c r="D1" s="577"/>
      <c r="E1" s="577"/>
      <c r="F1" s="577"/>
      <c r="G1" s="577"/>
      <c r="H1" s="577"/>
    </row>
    <row r="2" spans="2:9" s="73" customFormat="1" ht="24.95" customHeight="1">
      <c r="B2" s="578" t="s">
        <v>1415</v>
      </c>
      <c r="C2" s="578"/>
      <c r="D2" s="578"/>
      <c r="E2" s="578"/>
      <c r="F2" s="578"/>
      <c r="G2" s="578"/>
      <c r="H2" s="578"/>
    </row>
    <row r="3" spans="2:9" s="73" customFormat="1" ht="24.95" customHeight="1">
      <c r="B3" s="578" t="s">
        <v>1562</v>
      </c>
      <c r="C3" s="578"/>
      <c r="D3" s="578"/>
      <c r="E3" s="578"/>
      <c r="F3" s="578"/>
      <c r="G3" s="578"/>
      <c r="H3" s="578"/>
    </row>
    <row r="4" spans="2:9" ht="18.75" customHeight="1"/>
    <row r="5" spans="2:9" ht="28.5" customHeight="1">
      <c r="B5" s="179" t="s">
        <v>1459</v>
      </c>
      <c r="C5" s="153"/>
      <c r="D5" s="154" t="s">
        <v>1</v>
      </c>
      <c r="E5" s="179" t="s">
        <v>1460</v>
      </c>
      <c r="F5" s="179" t="s">
        <v>1461</v>
      </c>
      <c r="G5" s="179" t="s">
        <v>2002</v>
      </c>
      <c r="H5" s="179" t="s">
        <v>2</v>
      </c>
      <c r="I5" s="4"/>
    </row>
    <row r="6" spans="2:9" ht="23.1" customHeight="1">
      <c r="B6" s="180" t="s">
        <v>1458</v>
      </c>
      <c r="C6" s="181"/>
      <c r="D6" s="172"/>
      <c r="E6" s="180" t="s">
        <v>1458</v>
      </c>
      <c r="F6" s="182" t="s">
        <v>1458</v>
      </c>
      <c r="G6" s="182" t="s">
        <v>1458</v>
      </c>
      <c r="H6" s="182" t="s">
        <v>1458</v>
      </c>
      <c r="I6" s="23"/>
    </row>
    <row r="7" spans="2:9" ht="23.1" customHeight="1">
      <c r="B7" s="183"/>
      <c r="C7" s="184" t="s">
        <v>4</v>
      </c>
      <c r="D7" s="185"/>
      <c r="E7" s="183"/>
      <c r="F7" s="183"/>
      <c r="G7" s="183"/>
      <c r="H7" s="183"/>
      <c r="I7" s="4"/>
    </row>
    <row r="8" spans="2:9" ht="23.1" customHeight="1">
      <c r="B8" s="186">
        <v>25352826448.059998</v>
      </c>
      <c r="C8" s="183" t="s">
        <v>5</v>
      </c>
      <c r="D8" s="185">
        <v>1</v>
      </c>
      <c r="E8" s="187">
        <f>'FAAC (1)'!E21</f>
        <v>38019908660.69001</v>
      </c>
      <c r="F8" s="186">
        <v>36566274422.32</v>
      </c>
      <c r="G8" s="186">
        <v>32970737571.98</v>
      </c>
      <c r="H8" s="186">
        <f>F8-E8</f>
        <v>-1453634238.3700104</v>
      </c>
    </row>
    <row r="9" spans="2:9" ht="23.1" customHeight="1">
      <c r="B9" s="186">
        <v>9059086275.6399994</v>
      </c>
      <c r="C9" s="183" t="s">
        <v>803</v>
      </c>
      <c r="D9" s="185">
        <v>2</v>
      </c>
      <c r="E9" s="187">
        <f>VAT!E21</f>
        <v>10214624926.439999</v>
      </c>
      <c r="F9" s="186">
        <v>11000000000</v>
      </c>
      <c r="G9" s="186">
        <v>10500000000</v>
      </c>
      <c r="H9" s="186">
        <f>F9-E9</f>
        <v>785375073.56000137</v>
      </c>
    </row>
    <row r="10" spans="2:9" ht="23.1" customHeight="1">
      <c r="B10" s="186">
        <v>9260419701.6100006</v>
      </c>
      <c r="C10" s="183" t="s">
        <v>72</v>
      </c>
      <c r="D10" s="185">
        <v>3</v>
      </c>
      <c r="E10" s="187">
        <f>'FAAC (2)'!I20</f>
        <v>6009175979.5999994</v>
      </c>
      <c r="F10" s="186">
        <v>21983123267.02</v>
      </c>
      <c r="G10" s="186">
        <v>23000000000</v>
      </c>
      <c r="H10" s="186">
        <f>F10-E10</f>
        <v>15973947287.420002</v>
      </c>
    </row>
    <row r="11" spans="2:9" ht="23.1" customHeight="1">
      <c r="B11" s="186">
        <v>4323198137.9099998</v>
      </c>
      <c r="C11" s="183" t="s">
        <v>6</v>
      </c>
      <c r="D11" s="185">
        <v>5</v>
      </c>
      <c r="E11" s="187">
        <f>IGR!E17</f>
        <v>4799846715.3199997</v>
      </c>
      <c r="F11" s="186">
        <v>4761902886.9300003</v>
      </c>
      <c r="G11" s="186">
        <v>4624989953.8299999</v>
      </c>
      <c r="H11" s="186">
        <f>F11-E11</f>
        <v>-37943828.38999939</v>
      </c>
    </row>
    <row r="12" spans="2:9" ht="23.1" customHeight="1">
      <c r="B12" s="186">
        <v>7578655906.4000006</v>
      </c>
      <c r="C12" s="183" t="s">
        <v>7</v>
      </c>
      <c r="D12" s="185">
        <v>5</v>
      </c>
      <c r="E12" s="187">
        <f>IGR!E28</f>
        <v>7149308142.3500004</v>
      </c>
      <c r="F12" s="186">
        <v>8322455014.6999998</v>
      </c>
      <c r="G12" s="186">
        <v>6800954491.04</v>
      </c>
      <c r="H12" s="186">
        <f>F12-E12</f>
        <v>1173146872.3499994</v>
      </c>
    </row>
    <row r="13" spans="2:9" ht="23.1" hidden="1" customHeight="1">
      <c r="B13" s="186">
        <v>0</v>
      </c>
      <c r="C13" s="183" t="s">
        <v>8</v>
      </c>
      <c r="D13" s="185">
        <v>6</v>
      </c>
      <c r="E13" s="186">
        <f>'OTHER REV.'!D8</f>
        <v>0</v>
      </c>
      <c r="F13" s="186">
        <v>0</v>
      </c>
      <c r="G13" s="186">
        <v>0</v>
      </c>
      <c r="H13" s="186">
        <v>0</v>
      </c>
    </row>
    <row r="14" spans="2:9" ht="23.1" hidden="1" customHeight="1">
      <c r="B14" s="186">
        <v>0</v>
      </c>
      <c r="C14" s="183" t="s">
        <v>9</v>
      </c>
      <c r="D14" s="185">
        <v>6</v>
      </c>
      <c r="E14" s="186">
        <f>'OTHER REV.'!D9</f>
        <v>0</v>
      </c>
      <c r="F14" s="186">
        <v>0</v>
      </c>
      <c r="G14" s="186">
        <v>0</v>
      </c>
      <c r="H14" s="186">
        <v>0</v>
      </c>
    </row>
    <row r="15" spans="2:9" ht="23.1" customHeight="1">
      <c r="B15" s="186">
        <v>841325223.37</v>
      </c>
      <c r="C15" s="183" t="s">
        <v>11</v>
      </c>
      <c r="D15" s="185">
        <v>6</v>
      </c>
      <c r="E15" s="187">
        <f>'OTHER REV.'!D14</f>
        <v>246722381.81</v>
      </c>
      <c r="F15" s="186">
        <v>0</v>
      </c>
      <c r="G15" s="186">
        <v>0</v>
      </c>
      <c r="H15" s="186">
        <f>F15-E15</f>
        <v>-246722381.81</v>
      </c>
    </row>
    <row r="16" spans="2:9" ht="21.75" customHeight="1">
      <c r="B16" s="186">
        <v>75676283.549999997</v>
      </c>
      <c r="C16" s="183" t="s">
        <v>881</v>
      </c>
      <c r="D16" s="185">
        <v>7</v>
      </c>
      <c r="E16" s="187">
        <f>'OTHER REV.'!D21</f>
        <v>54468950</v>
      </c>
      <c r="F16" s="186">
        <v>2483694816.8699999</v>
      </c>
      <c r="G16" s="186">
        <v>2483694816.8699999</v>
      </c>
      <c r="H16" s="186">
        <f>F16-E16</f>
        <v>2429225866.8699999</v>
      </c>
    </row>
    <row r="17" spans="2:8" ht="21.75" customHeight="1">
      <c r="B17" s="186">
        <v>300000000</v>
      </c>
      <c r="C17" s="211" t="s">
        <v>2013</v>
      </c>
      <c r="D17" s="185">
        <v>8</v>
      </c>
      <c r="E17" s="187">
        <f>'OTHER REV.'!D32</f>
        <v>225000000</v>
      </c>
      <c r="F17" s="186">
        <v>300000000</v>
      </c>
      <c r="G17" s="186">
        <v>0</v>
      </c>
      <c r="H17" s="186">
        <f>F17-E17</f>
        <v>75000000</v>
      </c>
    </row>
    <row r="18" spans="2:8" ht="23.1" customHeight="1">
      <c r="B18" s="188">
        <f>SUM(B8:B17)</f>
        <v>56791187976.540009</v>
      </c>
      <c r="C18" s="153" t="s">
        <v>18</v>
      </c>
      <c r="D18" s="185"/>
      <c r="E18" s="188">
        <f>SUM(E8:E17)</f>
        <v>66719055756.209999</v>
      </c>
      <c r="F18" s="156">
        <f>SUM(F8:F17)</f>
        <v>85417450407.839981</v>
      </c>
      <c r="G18" s="156">
        <f>SUM(G8:G17)</f>
        <v>80380376833.719986</v>
      </c>
      <c r="H18" s="156">
        <f>SUM(H8:H17)</f>
        <v>18698394651.629993</v>
      </c>
    </row>
    <row r="19" spans="2:8" ht="23.1" customHeight="1">
      <c r="B19" s="183"/>
      <c r="C19" s="183"/>
      <c r="D19" s="185"/>
      <c r="E19" s="183"/>
      <c r="F19" s="183"/>
      <c r="G19" s="183"/>
      <c r="H19" s="183"/>
    </row>
    <row r="20" spans="2:8" ht="23.1" customHeight="1">
      <c r="B20" s="183"/>
      <c r="C20" s="184" t="s">
        <v>12</v>
      </c>
      <c r="D20" s="185"/>
      <c r="E20" s="183"/>
      <c r="F20" s="183"/>
      <c r="G20" s="183"/>
      <c r="H20" s="183"/>
    </row>
    <row r="21" spans="2:8" ht="23.1" customHeight="1">
      <c r="B21" s="186">
        <v>17871353573.490002</v>
      </c>
      <c r="C21" s="183" t="s">
        <v>13</v>
      </c>
      <c r="D21" s="185">
        <v>9</v>
      </c>
      <c r="E21" s="187">
        <f>'SALARIES '!F102</f>
        <v>17238668704.270004</v>
      </c>
      <c r="F21" s="187">
        <v>22914272547.310001</v>
      </c>
      <c r="G21" s="187">
        <v>20172717614.91</v>
      </c>
      <c r="H21" s="187">
        <f t="shared" ref="H21:H31" si="0">F21-E21</f>
        <v>5675603843.0399971</v>
      </c>
    </row>
    <row r="22" spans="2:8" s="66" customFormat="1" ht="23.1" customHeight="1">
      <c r="B22" s="186">
        <v>672043094.25</v>
      </c>
      <c r="C22" s="183" t="s">
        <v>1434</v>
      </c>
      <c r="D22" s="185">
        <v>9</v>
      </c>
      <c r="E22" s="187">
        <f>'SALARIES '!F110</f>
        <v>426511101.46999997</v>
      </c>
      <c r="F22" s="187">
        <v>812479644.49000001</v>
      </c>
      <c r="G22" s="187">
        <v>812479644.49000001</v>
      </c>
      <c r="H22" s="187">
        <f t="shared" si="0"/>
        <v>385968543.02000004</v>
      </c>
    </row>
    <row r="23" spans="2:8" s="174" customFormat="1" ht="23.1" customHeight="1">
      <c r="B23" s="186">
        <v>127505487.36</v>
      </c>
      <c r="C23" s="183" t="s">
        <v>1997</v>
      </c>
      <c r="D23" s="504">
        <v>9</v>
      </c>
      <c r="E23" s="187">
        <f>'SALARIES '!F116</f>
        <v>122395929.76000001</v>
      </c>
      <c r="F23" s="187">
        <v>250000000</v>
      </c>
      <c r="G23" s="187">
        <v>200000000</v>
      </c>
      <c r="H23" s="187">
        <f t="shared" si="0"/>
        <v>127604070.23999999</v>
      </c>
    </row>
    <row r="24" spans="2:8" ht="23.1" customHeight="1">
      <c r="B24" s="186">
        <f>6258211906.92-B23</f>
        <v>6130706419.5600004</v>
      </c>
      <c r="C24" s="183" t="s">
        <v>820</v>
      </c>
      <c r="D24" s="185">
        <v>10</v>
      </c>
      <c r="E24" s="187">
        <f>'SOCIAL BENIFITS'!D11</f>
        <v>7493094654.3600006</v>
      </c>
      <c r="F24" s="187">
        <v>6150048060.0900002</v>
      </c>
      <c r="G24" s="187">
        <v>4150048060.0900002</v>
      </c>
      <c r="H24" s="187">
        <f t="shared" si="0"/>
        <v>-1343046594.2700005</v>
      </c>
    </row>
    <row r="25" spans="2:8" ht="23.1" customHeight="1">
      <c r="B25" s="186">
        <v>2324706322.6100001</v>
      </c>
      <c r="C25" s="189" t="s">
        <v>14</v>
      </c>
      <c r="D25" s="185">
        <v>12</v>
      </c>
      <c r="E25" s="187">
        <f>OVERHEAD!F207</f>
        <v>2520605780.4000001</v>
      </c>
      <c r="F25" s="187">
        <v>3608742881.9000001</v>
      </c>
      <c r="G25" s="187">
        <v>3044892881.73</v>
      </c>
      <c r="H25" s="187">
        <f t="shared" si="0"/>
        <v>1088137101.5</v>
      </c>
    </row>
    <row r="26" spans="2:8" ht="23.1" customHeight="1">
      <c r="B26" s="186">
        <v>7106107722.9000006</v>
      </c>
      <c r="C26" s="183" t="s">
        <v>1528</v>
      </c>
      <c r="D26" s="185">
        <v>13</v>
      </c>
      <c r="E26" s="187">
        <f>TOF!F71</f>
        <v>12242456448.719999</v>
      </c>
      <c r="F26" s="187">
        <v>12186459903.49</v>
      </c>
      <c r="G26" s="187">
        <v>10809337062.76</v>
      </c>
      <c r="H26" s="187">
        <f t="shared" si="0"/>
        <v>-55996545.229999542</v>
      </c>
    </row>
    <row r="27" spans="2:8" ht="23.1" customHeight="1">
      <c r="B27" s="186">
        <v>14330750804.759998</v>
      </c>
      <c r="C27" s="183" t="s">
        <v>2005</v>
      </c>
      <c r="D27" s="185">
        <v>14</v>
      </c>
      <c r="E27" s="187">
        <f>SUBVENTION!F19</f>
        <v>14308928927.27</v>
      </c>
      <c r="F27" s="187">
        <v>16859086947.43</v>
      </c>
      <c r="G27" s="187">
        <v>15320086947.43</v>
      </c>
      <c r="H27" s="187">
        <f t="shared" si="0"/>
        <v>2550158020.1599998</v>
      </c>
    </row>
    <row r="28" spans="2:8" ht="23.1" customHeight="1">
      <c r="B28" s="186">
        <v>309457192.65450001</v>
      </c>
      <c r="C28" s="183" t="s">
        <v>16</v>
      </c>
      <c r="D28" s="185">
        <v>15</v>
      </c>
      <c r="E28" s="186">
        <f>'DEPRECIATION '!D14-0.01</f>
        <v>1563028091.1270001</v>
      </c>
      <c r="F28" s="186">
        <v>0</v>
      </c>
      <c r="G28" s="186">
        <v>0</v>
      </c>
      <c r="H28" s="186">
        <f t="shared" si="0"/>
        <v>-1563028091.1270001</v>
      </c>
    </row>
    <row r="29" spans="2:8" ht="23.1" hidden="1" customHeight="1">
      <c r="B29" s="186">
        <v>0</v>
      </c>
      <c r="C29" s="183" t="s">
        <v>17</v>
      </c>
      <c r="D29" s="185">
        <v>16</v>
      </c>
      <c r="E29" s="186">
        <f>'DEPRECIATION '!D23</f>
        <v>0</v>
      </c>
      <c r="F29" s="186">
        <v>0</v>
      </c>
      <c r="G29" s="186">
        <v>0</v>
      </c>
      <c r="H29" s="186">
        <f t="shared" si="0"/>
        <v>0</v>
      </c>
    </row>
    <row r="30" spans="2:8" ht="23.1" hidden="1" customHeight="1">
      <c r="B30" s="186">
        <v>0</v>
      </c>
      <c r="C30" s="183" t="s">
        <v>2003</v>
      </c>
      <c r="D30" s="185">
        <v>9</v>
      </c>
      <c r="E30" s="186">
        <f>'OTHER REV.'!D40</f>
        <v>0</v>
      </c>
      <c r="F30" s="186">
        <v>0</v>
      </c>
      <c r="G30" s="186">
        <v>0</v>
      </c>
      <c r="H30" s="186">
        <f t="shared" si="0"/>
        <v>0</v>
      </c>
    </row>
    <row r="31" spans="2:8" s="70" customFormat="1" ht="23.1" customHeight="1">
      <c r="B31" s="186">
        <v>75676283.549999997</v>
      </c>
      <c r="C31" s="183" t="s">
        <v>882</v>
      </c>
      <c r="D31" s="185">
        <v>7</v>
      </c>
      <c r="E31" s="186">
        <f>'OTHER REV.'!D21</f>
        <v>54468950</v>
      </c>
      <c r="F31" s="186">
        <v>0</v>
      </c>
      <c r="G31" s="186">
        <v>0</v>
      </c>
      <c r="H31" s="186">
        <f t="shared" si="0"/>
        <v>-54468950</v>
      </c>
    </row>
    <row r="32" spans="2:8" s="6" customFormat="1" ht="23.1" customHeight="1">
      <c r="B32" s="156">
        <f>SUM(B21:B31)</f>
        <v>48948306901.134514</v>
      </c>
      <c r="C32" s="153" t="s">
        <v>1939</v>
      </c>
      <c r="D32" s="154"/>
      <c r="E32" s="156">
        <f>SUM(E21:E31)</f>
        <v>55970158587.376999</v>
      </c>
      <c r="F32" s="156">
        <f>SUM(F21:F31)</f>
        <v>62781089984.710007</v>
      </c>
      <c r="G32" s="156">
        <f>SUM(G21:G31)</f>
        <v>54509562211.410004</v>
      </c>
      <c r="H32" s="156">
        <f>SUM(H21:H31)</f>
        <v>6810931397.3329973</v>
      </c>
    </row>
    <row r="33" spans="2:10" ht="23.1" customHeight="1">
      <c r="B33" s="183"/>
      <c r="C33" s="183"/>
      <c r="D33" s="185"/>
      <c r="E33" s="183"/>
      <c r="F33" s="183"/>
      <c r="G33" s="183"/>
      <c r="H33" s="183"/>
      <c r="J33" s="65"/>
    </row>
    <row r="34" spans="2:10" s="6" customFormat="1" ht="25.5" customHeight="1">
      <c r="B34" s="188">
        <f>B18-B32</f>
        <v>7842881075.4054947</v>
      </c>
      <c r="C34" s="190" t="s">
        <v>973</v>
      </c>
      <c r="D34" s="154"/>
      <c r="E34" s="156">
        <f>E18-E32</f>
        <v>10748897168.833</v>
      </c>
      <c r="F34" s="156">
        <f>F18-F32</f>
        <v>22636360423.129974</v>
      </c>
      <c r="G34" s="156">
        <f>G18-G32</f>
        <v>25870814622.309982</v>
      </c>
      <c r="H34" s="156">
        <f>H18-H32</f>
        <v>11887463254.296997</v>
      </c>
    </row>
    <row r="35" spans="2:10" ht="23.1" customHeight="1">
      <c r="B35" s="183"/>
      <c r="C35" s="153" t="s">
        <v>931</v>
      </c>
      <c r="D35" s="185"/>
      <c r="E35" s="183"/>
      <c r="F35" s="183"/>
      <c r="G35" s="183"/>
      <c r="H35" s="183"/>
    </row>
    <row r="36" spans="2:10" ht="23.1" customHeight="1">
      <c r="B36" s="186">
        <v>3280302211.5100002</v>
      </c>
      <c r="C36" s="183" t="s">
        <v>2009</v>
      </c>
      <c r="D36" s="185">
        <v>16</v>
      </c>
      <c r="E36" s="186">
        <f>'CAPITAL COST'!E38</f>
        <v>1278714615.9000001</v>
      </c>
      <c r="F36" s="186">
        <f>'CAPITAL COST'!F38</f>
        <v>3910500000</v>
      </c>
      <c r="G36" s="186">
        <v>3910500000</v>
      </c>
      <c r="H36" s="186">
        <f>F36-E36</f>
        <v>2631785384.0999999</v>
      </c>
    </row>
    <row r="37" spans="2:10" ht="23.1" customHeight="1">
      <c r="B37" s="186"/>
      <c r="C37" s="189" t="s">
        <v>20</v>
      </c>
      <c r="D37" s="185"/>
      <c r="E37" s="186">
        <v>0</v>
      </c>
      <c r="F37" s="186"/>
      <c r="G37" s="186"/>
      <c r="H37" s="186">
        <f t="shared" ref="H37:H40" si="1">F37-E37</f>
        <v>0</v>
      </c>
    </row>
    <row r="38" spans="2:10" s="75" customFormat="1" ht="23.1" customHeight="1">
      <c r="B38" s="186">
        <v>7088980295.3900003</v>
      </c>
      <c r="C38" s="189" t="s">
        <v>19</v>
      </c>
      <c r="D38" s="185">
        <v>11</v>
      </c>
      <c r="E38" s="187">
        <f>'SOCIAL BENIFITS'!D21</f>
        <v>5132032984.4900007</v>
      </c>
      <c r="F38" s="187">
        <v>12022863958.4</v>
      </c>
      <c r="G38" s="187">
        <f>F38</f>
        <v>12022863958.4</v>
      </c>
      <c r="H38" s="186">
        <f t="shared" si="1"/>
        <v>6890830973.9099989</v>
      </c>
    </row>
    <row r="39" spans="2:10" s="6" customFormat="1" ht="29.25" customHeight="1">
      <c r="B39" s="156">
        <f>SUM(B36:B38)</f>
        <v>10369282506.900002</v>
      </c>
      <c r="C39" s="190" t="s">
        <v>887</v>
      </c>
      <c r="D39" s="154"/>
      <c r="E39" s="156">
        <f>SUM(E36:E38)</f>
        <v>6410747600.3900013</v>
      </c>
      <c r="F39" s="156">
        <f>SUM(F36:F38)</f>
        <v>15933363958.4</v>
      </c>
      <c r="G39" s="156">
        <f>SUM(G36:G38)</f>
        <v>15933363958.4</v>
      </c>
      <c r="H39" s="186">
        <f t="shared" si="1"/>
        <v>9522616358.0099983</v>
      </c>
    </row>
    <row r="40" spans="2:10" ht="23.1" customHeight="1">
      <c r="B40" s="183"/>
      <c r="C40" s="183"/>
      <c r="D40" s="185"/>
      <c r="E40" s="183"/>
      <c r="F40" s="183"/>
      <c r="G40" s="183"/>
      <c r="H40" s="186">
        <f t="shared" si="1"/>
        <v>0</v>
      </c>
    </row>
    <row r="41" spans="2:10" s="6" customFormat="1" ht="27.75" customHeight="1">
      <c r="B41" s="188">
        <f>B34-B39</f>
        <v>-2526401431.4945068</v>
      </c>
      <c r="C41" s="190" t="s">
        <v>888</v>
      </c>
      <c r="D41" s="154"/>
      <c r="E41" s="156">
        <f>E34-E39</f>
        <v>4338149568.4429989</v>
      </c>
      <c r="F41" s="156">
        <f>F34-F39</f>
        <v>6702996464.7299747</v>
      </c>
      <c r="G41" s="156">
        <f>G34-G39</f>
        <v>9937450663.9099827</v>
      </c>
      <c r="H41" s="156">
        <f>H34-H39</f>
        <v>2364846896.2869987</v>
      </c>
    </row>
    <row r="42" spans="2:10">
      <c r="B42" s="142"/>
      <c r="C42" s="142"/>
      <c r="D42" s="191"/>
      <c r="E42" s="142"/>
      <c r="F42" s="142"/>
      <c r="G42" s="503"/>
      <c r="H42" s="142"/>
    </row>
    <row r="43" spans="2:10">
      <c r="B43" s="579" t="s">
        <v>1406</v>
      </c>
      <c r="C43" s="579"/>
      <c r="D43" s="579"/>
      <c r="E43" s="579"/>
      <c r="F43" s="579"/>
      <c r="G43" s="579"/>
      <c r="H43" s="579"/>
    </row>
  </sheetData>
  <mergeCells count="4">
    <mergeCell ref="B1:H1"/>
    <mergeCell ref="B2:H2"/>
    <mergeCell ref="B43:H43"/>
    <mergeCell ref="B3:H3"/>
  </mergeCells>
  <pageMargins left="0.5" right="0.5" top="0.75" bottom="0.25" header="0.3" footer="0.25"/>
  <pageSetup paperSize="9" firstPageNumber="73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5"/>
  <sheetViews>
    <sheetView topLeftCell="A29" workbookViewId="0">
      <selection activeCell="C46" sqref="C46"/>
    </sheetView>
  </sheetViews>
  <sheetFormatPr defaultRowHeight="15"/>
  <cols>
    <col min="1" max="1" width="2.85546875" customWidth="1"/>
    <col min="2" max="2" width="44.85546875" customWidth="1"/>
    <col min="3" max="3" width="9.42578125" style="1" customWidth="1"/>
    <col min="4" max="4" width="18.7109375" style="1" customWidth="1"/>
    <col min="5" max="5" width="18.7109375" customWidth="1"/>
    <col min="6" max="6" width="18.7109375" style="44" customWidth="1"/>
    <col min="7" max="7" width="18.42578125" style="44" customWidth="1"/>
    <col min="8" max="8" width="9.140625" customWidth="1"/>
    <col min="9" max="9" width="18" customWidth="1"/>
    <col min="11" max="11" width="18" hidden="1" customWidth="1"/>
  </cols>
  <sheetData>
    <row r="1" spans="2:11" ht="24.95" customHeight="1">
      <c r="B1" s="580" t="s">
        <v>0</v>
      </c>
      <c r="C1" s="580"/>
      <c r="D1" s="580"/>
      <c r="E1" s="580"/>
      <c r="F1" s="580"/>
      <c r="G1" s="580"/>
    </row>
    <row r="2" spans="2:11" s="72" customFormat="1" ht="24.95" customHeight="1">
      <c r="B2" s="581" t="s">
        <v>1413</v>
      </c>
      <c r="C2" s="581"/>
      <c r="D2" s="581"/>
      <c r="E2" s="581"/>
      <c r="F2" s="581"/>
      <c r="G2" s="581"/>
    </row>
    <row r="3" spans="2:11" ht="24.95" customHeight="1">
      <c r="B3" s="581" t="s">
        <v>1563</v>
      </c>
      <c r="C3" s="581"/>
      <c r="D3" s="581"/>
      <c r="E3" s="581"/>
      <c r="F3" s="581"/>
      <c r="G3" s="581"/>
    </row>
    <row r="4" spans="2:11" ht="9" customHeight="1"/>
    <row r="5" spans="2:11" ht="28.5" customHeight="1">
      <c r="B5" s="179"/>
      <c r="C5" s="154" t="s">
        <v>1</v>
      </c>
      <c r="D5" s="192" t="s">
        <v>1564</v>
      </c>
      <c r="E5" s="192" t="s">
        <v>1564</v>
      </c>
      <c r="F5" s="192" t="s">
        <v>1476</v>
      </c>
      <c r="G5" s="192" t="s">
        <v>1476</v>
      </c>
    </row>
    <row r="6" spans="2:11" ht="15.75">
      <c r="B6" s="182"/>
      <c r="C6" s="172"/>
      <c r="D6" s="180" t="s">
        <v>1458</v>
      </c>
      <c r="E6" s="182" t="s">
        <v>1458</v>
      </c>
      <c r="F6" s="182" t="s">
        <v>1458</v>
      </c>
      <c r="G6" s="182" t="s">
        <v>1458</v>
      </c>
    </row>
    <row r="7" spans="2:11" ht="20.100000000000001" customHeight="1">
      <c r="B7" s="184" t="s">
        <v>1408</v>
      </c>
      <c r="C7" s="154"/>
      <c r="D7" s="185"/>
      <c r="E7" s="183"/>
      <c r="F7" s="186"/>
      <c r="G7" s="186"/>
    </row>
    <row r="8" spans="2:11" ht="20.100000000000001" customHeight="1">
      <c r="B8" s="153" t="s">
        <v>21</v>
      </c>
      <c r="C8" s="185"/>
      <c r="D8" s="185"/>
      <c r="E8" s="183"/>
      <c r="F8" s="186"/>
      <c r="G8" s="186"/>
    </row>
    <row r="9" spans="2:11" ht="20.100000000000001" customHeight="1">
      <c r="B9" s="183" t="s">
        <v>22</v>
      </c>
      <c r="C9" s="185">
        <v>17</v>
      </c>
      <c r="D9" s="193">
        <f>'CASH BAL '!E118</f>
        <v>11951237961.91</v>
      </c>
      <c r="E9" s="183"/>
      <c r="F9" s="186">
        <v>11384068689.98</v>
      </c>
      <c r="G9" s="186"/>
      <c r="K9" s="65"/>
    </row>
    <row r="10" spans="2:11" ht="20.100000000000001" customHeight="1">
      <c r="B10" s="183" t="s">
        <v>23</v>
      </c>
      <c r="C10" s="185">
        <v>18</v>
      </c>
      <c r="D10" s="193">
        <f>'INVENTORIES '!D15</f>
        <v>0</v>
      </c>
      <c r="E10" s="183"/>
      <c r="F10" s="186">
        <v>0</v>
      </c>
      <c r="G10" s="186"/>
    </row>
    <row r="11" spans="2:11" ht="20.100000000000001" customHeight="1">
      <c r="B11" s="183" t="s">
        <v>24</v>
      </c>
      <c r="C11" s="185">
        <v>19</v>
      </c>
      <c r="D11" s="193">
        <f>'INVENTORIES '!D21</f>
        <v>4039203795.48</v>
      </c>
      <c r="E11" s="183"/>
      <c r="F11" s="186">
        <v>4027411377.4699998</v>
      </c>
      <c r="G11" s="186"/>
    </row>
    <row r="12" spans="2:11" ht="20.100000000000001" customHeight="1">
      <c r="B12" s="183" t="s">
        <v>910</v>
      </c>
      <c r="C12" s="185">
        <v>20</v>
      </c>
      <c r="D12" s="193">
        <v>0</v>
      </c>
      <c r="E12" s="183"/>
      <c r="F12" s="186">
        <v>0</v>
      </c>
      <c r="G12" s="186"/>
    </row>
    <row r="13" spans="2:11" s="6" customFormat="1" ht="20.100000000000001" customHeight="1">
      <c r="B13" s="194" t="s">
        <v>25</v>
      </c>
      <c r="C13" s="154"/>
      <c r="D13" s="154"/>
      <c r="E13" s="188">
        <f>SUM(D9:D12)</f>
        <v>15990441757.389999</v>
      </c>
      <c r="F13" s="156"/>
      <c r="G13" s="156">
        <f>SUM(F9:F12)</f>
        <v>15411480067.449999</v>
      </c>
    </row>
    <row r="14" spans="2:11" ht="20.100000000000001" customHeight="1">
      <c r="B14" s="183"/>
      <c r="C14" s="185"/>
      <c r="D14" s="185"/>
      <c r="E14" s="183"/>
      <c r="F14" s="186"/>
      <c r="G14" s="186"/>
    </row>
    <row r="15" spans="2:11" ht="20.100000000000001" customHeight="1">
      <c r="B15" s="153" t="s">
        <v>26</v>
      </c>
      <c r="C15" s="185"/>
      <c r="D15" s="185"/>
      <c r="E15" s="183"/>
      <c r="F15" s="186"/>
      <c r="G15" s="186"/>
      <c r="K15" s="65"/>
    </row>
    <row r="16" spans="2:11" ht="20.100000000000001" customHeight="1">
      <c r="B16" s="183" t="s">
        <v>1437</v>
      </c>
      <c r="C16" s="185">
        <v>21</v>
      </c>
      <c r="D16" s="195">
        <f>'BOND SINKING '!D27</f>
        <v>1596112000</v>
      </c>
      <c r="E16" s="183"/>
      <c r="F16" s="186">
        <v>2561428000</v>
      </c>
      <c r="G16" s="186"/>
      <c r="I16" s="65">
        <f>E13+D16+D17+D18</f>
        <v>36474496754.250504</v>
      </c>
      <c r="K16" s="65"/>
    </row>
    <row r="17" spans="2:7" ht="20.100000000000001" customHeight="1">
      <c r="B17" s="183" t="s">
        <v>1918</v>
      </c>
      <c r="C17" s="196">
        <v>22</v>
      </c>
      <c r="D17" s="195">
        <f>'PPE '!H20</f>
        <v>17310868787.8605</v>
      </c>
      <c r="E17" s="183"/>
      <c r="F17" s="186">
        <v>3061103388.4299998</v>
      </c>
      <c r="G17" s="186"/>
    </row>
    <row r="18" spans="2:7" s="75" customFormat="1" ht="20.100000000000001" customHeight="1">
      <c r="B18" s="183" t="s">
        <v>1438</v>
      </c>
      <c r="C18" s="196">
        <v>23</v>
      </c>
      <c r="D18" s="195">
        <f>WIP!G10</f>
        <v>1577074209</v>
      </c>
      <c r="E18" s="183"/>
      <c r="F18" s="186">
        <v>6702443938.8500004</v>
      </c>
      <c r="G18" s="186"/>
    </row>
    <row r="19" spans="2:7" s="6" customFormat="1" ht="20.100000000000001" customHeight="1">
      <c r="B19" s="194" t="s">
        <v>27</v>
      </c>
      <c r="C19" s="154"/>
      <c r="D19" s="154"/>
      <c r="E19" s="188">
        <f>D16+D17+D18</f>
        <v>20484054996.8605</v>
      </c>
      <c r="F19" s="156"/>
      <c r="G19" s="156">
        <f>F16+F17+F18</f>
        <v>12324975327.280001</v>
      </c>
    </row>
    <row r="20" spans="2:7" s="6" customFormat="1" ht="20.100000000000001" customHeight="1">
      <c r="B20" s="194" t="s">
        <v>30</v>
      </c>
      <c r="C20" s="154"/>
      <c r="D20" s="154"/>
      <c r="E20" s="188">
        <f>E19+E13</f>
        <v>36474496754.250504</v>
      </c>
      <c r="F20" s="156"/>
      <c r="G20" s="156">
        <f>G19+G13</f>
        <v>27736455394.73</v>
      </c>
    </row>
    <row r="21" spans="2:7" ht="20.100000000000001" customHeight="1">
      <c r="B21" s="183"/>
      <c r="C21" s="196"/>
      <c r="D21" s="185"/>
      <c r="E21" s="183"/>
      <c r="F21" s="186"/>
      <c r="G21" s="186"/>
    </row>
    <row r="22" spans="2:7" ht="20.100000000000001" customHeight="1">
      <c r="B22" s="153" t="s">
        <v>28</v>
      </c>
      <c r="C22" s="196"/>
      <c r="D22" s="185"/>
      <c r="E22" s="183"/>
      <c r="F22" s="186"/>
      <c r="G22" s="186"/>
    </row>
    <row r="23" spans="2:7" ht="20.100000000000001" customHeight="1">
      <c r="B23" s="153" t="s">
        <v>947</v>
      </c>
      <c r="C23" s="196"/>
      <c r="D23" s="185"/>
      <c r="E23" s="183"/>
      <c r="F23" s="186"/>
      <c r="G23" s="186"/>
    </row>
    <row r="24" spans="2:7" ht="20.100000000000001" customHeight="1">
      <c r="B24" s="189" t="s">
        <v>946</v>
      </c>
      <c r="C24" s="196"/>
      <c r="D24" s="195">
        <v>0</v>
      </c>
      <c r="E24" s="186"/>
      <c r="F24" s="186">
        <v>0</v>
      </c>
      <c r="G24" s="186"/>
    </row>
    <row r="25" spans="2:7" ht="20.100000000000001" customHeight="1">
      <c r="B25" s="183" t="s">
        <v>29</v>
      </c>
      <c r="C25" s="196">
        <v>24</v>
      </c>
      <c r="D25" s="195">
        <f>ACCRUALS!D9</f>
        <v>1910930670.3900003</v>
      </c>
      <c r="E25" s="186"/>
      <c r="F25" s="186">
        <v>1265750692.7</v>
      </c>
      <c r="G25" s="186"/>
    </row>
    <row r="26" spans="2:7" ht="20.100000000000001" customHeight="1">
      <c r="B26" s="183" t="s">
        <v>944</v>
      </c>
      <c r="C26" s="196">
        <v>25</v>
      </c>
      <c r="D26" s="195">
        <f>ACCRUALS!D17</f>
        <v>18358501278.190002</v>
      </c>
      <c r="E26" s="186"/>
      <c r="F26" s="186">
        <v>17836923855.689999</v>
      </c>
      <c r="G26" s="186"/>
    </row>
    <row r="27" spans="2:7" ht="20.100000000000001" customHeight="1">
      <c r="B27" s="183" t="s">
        <v>945</v>
      </c>
      <c r="C27" s="196">
        <v>26</v>
      </c>
      <c r="D27" s="195">
        <f>ACCRUALS!D24</f>
        <v>4047798841.1499996</v>
      </c>
      <c r="E27" s="186"/>
      <c r="F27" s="186">
        <v>4542696411.3599997</v>
      </c>
      <c r="G27" s="186"/>
    </row>
    <row r="28" spans="2:7" s="6" customFormat="1" ht="20.100000000000001" customHeight="1">
      <c r="B28" s="194" t="s">
        <v>31</v>
      </c>
      <c r="C28" s="154"/>
      <c r="D28" s="155"/>
      <c r="E28" s="156">
        <f>D27+D26+D25</f>
        <v>24317230789.730003</v>
      </c>
      <c r="F28" s="156"/>
      <c r="G28" s="156">
        <f>F24+F25+F26+F27</f>
        <v>23645370959.75</v>
      </c>
    </row>
    <row r="29" spans="2:7" ht="20.100000000000001" customHeight="1">
      <c r="B29" s="183"/>
      <c r="C29" s="185"/>
      <c r="D29" s="195"/>
      <c r="E29" s="186"/>
      <c r="F29" s="186"/>
      <c r="G29" s="186"/>
    </row>
    <row r="30" spans="2:7" ht="20.100000000000001" customHeight="1">
      <c r="B30" s="153" t="s">
        <v>32</v>
      </c>
      <c r="C30" s="185"/>
      <c r="D30" s="195"/>
      <c r="E30" s="186"/>
      <c r="F30" s="186"/>
      <c r="G30" s="186"/>
    </row>
    <row r="31" spans="2:7" ht="20.100000000000001" customHeight="1">
      <c r="B31" s="183" t="s">
        <v>957</v>
      </c>
      <c r="C31" s="185">
        <v>27</v>
      </c>
      <c r="D31" s="195">
        <f>'F LOANS REPYT '!C39</f>
        <v>30034529853.590004</v>
      </c>
      <c r="E31" s="186"/>
      <c r="F31" s="186">
        <v>20748175056.790001</v>
      </c>
      <c r="G31" s="186"/>
    </row>
    <row r="32" spans="2:7" ht="20.100000000000001" customHeight="1">
      <c r="B32" s="183" t="s">
        <v>958</v>
      </c>
      <c r="C32" s="185">
        <v>28</v>
      </c>
      <c r="D32" s="195">
        <f>'D LOANS REPYT '!J19</f>
        <v>58067393476.559998</v>
      </c>
      <c r="E32" s="186"/>
      <c r="F32" s="186">
        <v>66957961273.07</v>
      </c>
      <c r="G32" s="186"/>
    </row>
    <row r="33" spans="2:11" s="6" customFormat="1" ht="20.100000000000001" customHeight="1">
      <c r="B33" s="194" t="s">
        <v>33</v>
      </c>
      <c r="C33" s="154"/>
      <c r="D33" s="155"/>
      <c r="E33" s="156">
        <f>D31+D32</f>
        <v>88101923330.149994</v>
      </c>
      <c r="F33" s="156"/>
      <c r="G33" s="156">
        <f>F31+F32</f>
        <v>87706136329.860001</v>
      </c>
    </row>
    <row r="34" spans="2:11" s="6" customFormat="1" ht="20.100000000000001" customHeight="1">
      <c r="B34" s="194" t="s">
        <v>34</v>
      </c>
      <c r="C34" s="154"/>
      <c r="D34" s="155"/>
      <c r="E34" s="156">
        <f>E33+E28</f>
        <v>112419154119.88</v>
      </c>
      <c r="F34" s="156"/>
      <c r="G34" s="156">
        <f>G28+G33</f>
        <v>111351507289.61</v>
      </c>
    </row>
    <row r="35" spans="2:11" ht="20.100000000000001" customHeight="1">
      <c r="B35" s="194"/>
      <c r="C35" s="196"/>
      <c r="D35" s="195"/>
      <c r="E35" s="186"/>
      <c r="F35" s="186"/>
      <c r="G35" s="186"/>
    </row>
    <row r="36" spans="2:11" s="6" customFormat="1" ht="20.100000000000001" customHeight="1">
      <c r="B36" s="194" t="s">
        <v>35</v>
      </c>
      <c r="C36" s="154"/>
      <c r="D36" s="155"/>
      <c r="E36" s="197">
        <f>E20-E34+1.27</f>
        <v>-75944657364.359497</v>
      </c>
      <c r="F36" s="197"/>
      <c r="G36" s="197">
        <f>G20-G34</f>
        <v>-83615051894.880005</v>
      </c>
    </row>
    <row r="37" spans="2:11" ht="20.100000000000001" customHeight="1">
      <c r="B37" s="183"/>
      <c r="C37" s="154"/>
      <c r="D37" s="195"/>
      <c r="E37" s="186"/>
      <c r="F37" s="186"/>
      <c r="G37" s="186"/>
    </row>
    <row r="38" spans="2:11" s="6" customFormat="1" ht="20.100000000000001" customHeight="1">
      <c r="B38" s="153" t="s">
        <v>36</v>
      </c>
      <c r="C38" s="154"/>
      <c r="D38" s="155"/>
      <c r="E38" s="156"/>
      <c r="F38" s="156"/>
      <c r="G38" s="156"/>
      <c r="K38" s="64">
        <f>E36-E42</f>
        <v>-2.4871826171875E-3</v>
      </c>
    </row>
    <row r="39" spans="2:11" s="6" customFormat="1" ht="20.100000000000001" customHeight="1">
      <c r="B39" s="189" t="s">
        <v>959</v>
      </c>
      <c r="C39" s="196"/>
      <c r="D39" s="198">
        <f>'CHANGE IN EQUITY'!G19</f>
        <v>-80282806932.800003</v>
      </c>
      <c r="E39" s="156"/>
      <c r="F39" s="199">
        <v>-81088650463.389999</v>
      </c>
      <c r="G39" s="156"/>
    </row>
    <row r="40" spans="2:11" ht="20.100000000000001" customHeight="1">
      <c r="B40" s="183" t="s">
        <v>37</v>
      </c>
      <c r="C40" s="196"/>
      <c r="D40" s="195">
        <f>'CHANGE IN EQUITY'!F19</f>
        <v>4338149568.4429989</v>
      </c>
      <c r="E40" s="186"/>
      <c r="F40" s="186">
        <v>-2526401431.4899998</v>
      </c>
      <c r="G40" s="186"/>
    </row>
    <row r="41" spans="2:11" s="6" customFormat="1" ht="20.100000000000001" customHeight="1">
      <c r="B41" s="183" t="s">
        <v>960</v>
      </c>
      <c r="C41" s="196"/>
      <c r="D41" s="155">
        <v>0</v>
      </c>
      <c r="E41" s="156"/>
      <c r="F41" s="156">
        <v>0</v>
      </c>
      <c r="G41" s="156"/>
    </row>
    <row r="42" spans="2:11" s="48" customFormat="1" ht="20.100000000000001" customHeight="1">
      <c r="B42" s="153" t="s">
        <v>961</v>
      </c>
      <c r="C42" s="196"/>
      <c r="D42" s="198"/>
      <c r="E42" s="197">
        <f>D39+D40+D41</f>
        <v>-75944657364.35701</v>
      </c>
      <c r="F42" s="199"/>
      <c r="G42" s="197">
        <f>F39+F40+F41</f>
        <v>-83615051894.880005</v>
      </c>
    </row>
    <row r="43" spans="2:11">
      <c r="B43" s="142"/>
      <c r="C43" s="191"/>
      <c r="D43" s="191"/>
      <c r="E43" s="142"/>
      <c r="F43" s="200"/>
      <c r="G43" s="200"/>
    </row>
    <row r="44" spans="2:11">
      <c r="B44" s="142"/>
      <c r="C44" s="191"/>
      <c r="D44" s="191"/>
      <c r="E44" s="142"/>
      <c r="F44" s="200"/>
      <c r="G44" s="200"/>
    </row>
    <row r="45" spans="2:11">
      <c r="B45" s="579" t="s">
        <v>1406</v>
      </c>
      <c r="C45" s="579"/>
      <c r="D45" s="579"/>
      <c r="E45" s="579"/>
      <c r="F45" s="579"/>
      <c r="G45" s="579"/>
    </row>
  </sheetData>
  <mergeCells count="4">
    <mergeCell ref="B1:G1"/>
    <mergeCell ref="B3:G3"/>
    <mergeCell ref="B45:G45"/>
    <mergeCell ref="B2:G2"/>
  </mergeCells>
  <pageMargins left="0.5" right="0.5" top="0.75" bottom="0.25" header="0.3" footer="0.25"/>
  <pageSetup paperSize="9" firstPageNumber="75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opLeftCell="A47" workbookViewId="0">
      <selection activeCell="E67" sqref="E67"/>
    </sheetView>
  </sheetViews>
  <sheetFormatPr defaultRowHeight="15"/>
  <cols>
    <col min="1" max="1" width="3.42578125" style="96" customWidth="1"/>
    <col min="2" max="2" width="44.140625" customWidth="1"/>
    <col min="3" max="3" width="9.42578125" style="1" hidden="1" customWidth="1"/>
    <col min="4" max="4" width="18.7109375" style="1" customWidth="1"/>
    <col min="5" max="7" width="18.7109375" customWidth="1"/>
  </cols>
  <sheetData>
    <row r="1" spans="1:7" ht="24.95" customHeight="1">
      <c r="B1" s="582" t="s">
        <v>0</v>
      </c>
      <c r="C1" s="582"/>
      <c r="D1" s="582"/>
      <c r="E1" s="582"/>
      <c r="F1" s="582"/>
      <c r="G1" s="582"/>
    </row>
    <row r="2" spans="1:7" s="72" customFormat="1" ht="24.95" customHeight="1">
      <c r="A2" s="96"/>
      <c r="B2" s="583" t="s">
        <v>1414</v>
      </c>
      <c r="C2" s="583"/>
      <c r="D2" s="583"/>
      <c r="E2" s="583"/>
      <c r="F2" s="583"/>
      <c r="G2" s="583"/>
    </row>
    <row r="3" spans="1:7" ht="24.95" customHeight="1">
      <c r="B3" s="583" t="s">
        <v>1565</v>
      </c>
      <c r="C3" s="583"/>
      <c r="D3" s="583"/>
      <c r="E3" s="583"/>
      <c r="F3" s="583"/>
      <c r="G3" s="583"/>
    </row>
    <row r="4" spans="1:7" s="142" customFormat="1" ht="21" customHeight="1">
      <c r="B4" s="179"/>
      <c r="C4" s="154" t="s">
        <v>1</v>
      </c>
      <c r="D4" s="584">
        <v>2018</v>
      </c>
      <c r="E4" s="585"/>
      <c r="F4" s="586">
        <v>2017</v>
      </c>
      <c r="G4" s="587"/>
    </row>
    <row r="5" spans="1:7" s="142" customFormat="1" ht="18.75" customHeight="1">
      <c r="B5" s="182"/>
      <c r="C5" s="172"/>
      <c r="D5" s="180" t="s">
        <v>1458</v>
      </c>
      <c r="E5" s="182" t="s">
        <v>1458</v>
      </c>
      <c r="F5" s="182" t="s">
        <v>1458</v>
      </c>
      <c r="G5" s="182" t="s">
        <v>1458</v>
      </c>
    </row>
    <row r="6" spans="1:7" s="142" customFormat="1" ht="20.100000000000001" customHeight="1">
      <c r="B6" s="184" t="s">
        <v>38</v>
      </c>
      <c r="C6" s="154"/>
      <c r="D6" s="185"/>
      <c r="E6" s="183"/>
      <c r="F6" s="183"/>
      <c r="G6" s="183"/>
    </row>
    <row r="7" spans="1:7" s="142" customFormat="1" ht="20.100000000000001" customHeight="1">
      <c r="B7" s="153" t="s">
        <v>39</v>
      </c>
      <c r="C7" s="185"/>
      <c r="D7" s="185"/>
      <c r="E7" s="183"/>
      <c r="F7" s="183"/>
      <c r="G7" s="183"/>
    </row>
    <row r="8" spans="1:7" s="142" customFormat="1" ht="20.100000000000001" customHeight="1">
      <c r="B8" s="183" t="s">
        <v>5</v>
      </c>
      <c r="C8" s="185">
        <v>1</v>
      </c>
      <c r="D8" s="193">
        <f>'FAAC (1)'!E21</f>
        <v>38019908660.69001</v>
      </c>
      <c r="E8" s="183"/>
      <c r="F8" s="193">
        <v>25352826448.059998</v>
      </c>
      <c r="G8" s="186"/>
    </row>
    <row r="9" spans="1:7" s="142" customFormat="1" ht="20.100000000000001" customHeight="1">
      <c r="B9" s="183" t="s">
        <v>803</v>
      </c>
      <c r="C9" s="185">
        <v>2</v>
      </c>
      <c r="D9" s="193">
        <f>VAT!E21</f>
        <v>10214624926.439999</v>
      </c>
      <c r="E9" s="183"/>
      <c r="F9" s="193">
        <v>9059086275.6399994</v>
      </c>
      <c r="G9" s="186"/>
    </row>
    <row r="10" spans="1:7" s="142" customFormat="1" ht="20.100000000000001" customHeight="1">
      <c r="B10" s="183" t="s">
        <v>72</v>
      </c>
      <c r="C10" s="185">
        <v>3</v>
      </c>
      <c r="D10" s="193">
        <f>'FAAC (2)'!I20</f>
        <v>6009175979.5999994</v>
      </c>
      <c r="E10" s="183"/>
      <c r="F10" s="193">
        <v>9260419701.6100006</v>
      </c>
      <c r="G10" s="186"/>
    </row>
    <row r="11" spans="1:7" s="142" customFormat="1" ht="20.100000000000001" customHeight="1">
      <c r="B11" s="183" t="s">
        <v>6</v>
      </c>
      <c r="C11" s="185">
        <v>5</v>
      </c>
      <c r="D11" s="193">
        <f>IGR!E17</f>
        <v>4799846715.3199997</v>
      </c>
      <c r="E11" s="183"/>
      <c r="F11" s="193">
        <v>4323198137.9099998</v>
      </c>
      <c r="G11" s="186"/>
    </row>
    <row r="12" spans="1:7" s="142" customFormat="1" ht="20.100000000000001" customHeight="1">
      <c r="B12" s="183" t="s">
        <v>7</v>
      </c>
      <c r="C12" s="185">
        <v>5</v>
      </c>
      <c r="D12" s="193">
        <f>IGR!E28</f>
        <v>7149308142.3500004</v>
      </c>
      <c r="E12" s="183"/>
      <c r="F12" s="193">
        <v>7578655906.3999996</v>
      </c>
      <c r="G12" s="186"/>
    </row>
    <row r="13" spans="1:7" s="142" customFormat="1" ht="20.100000000000001" hidden="1" customHeight="1">
      <c r="B13" s="201" t="s">
        <v>8</v>
      </c>
      <c r="C13" s="185"/>
      <c r="D13" s="185"/>
      <c r="E13" s="183"/>
      <c r="F13" s="185"/>
      <c r="G13" s="186"/>
    </row>
    <row r="14" spans="1:7" s="142" customFormat="1" ht="20.100000000000001" hidden="1" customHeight="1">
      <c r="B14" s="183" t="s">
        <v>9</v>
      </c>
      <c r="C14" s="185"/>
      <c r="D14" s="185"/>
      <c r="E14" s="183"/>
      <c r="F14" s="185"/>
      <c r="G14" s="186"/>
    </row>
    <row r="15" spans="1:7" s="142" customFormat="1" ht="20.100000000000001" customHeight="1">
      <c r="B15" s="183" t="s">
        <v>11</v>
      </c>
      <c r="C15" s="185">
        <v>6</v>
      </c>
      <c r="D15" s="193">
        <f>'OTHER REV.'!D14</f>
        <v>246722381.81</v>
      </c>
      <c r="E15" s="183"/>
      <c r="F15" s="193">
        <v>841325223.37</v>
      </c>
      <c r="G15" s="186"/>
    </row>
    <row r="16" spans="1:7" s="142" customFormat="1" ht="20.100000000000001" customHeight="1">
      <c r="B16" s="189" t="s">
        <v>10</v>
      </c>
      <c r="C16" s="185">
        <v>7</v>
      </c>
      <c r="D16" s="193">
        <f>'OTHER REV.'!D21</f>
        <v>54468950</v>
      </c>
      <c r="E16" s="183"/>
      <c r="F16" s="193">
        <v>75676283.549999997</v>
      </c>
      <c r="G16" s="186"/>
    </row>
    <row r="17" spans="2:7" s="142" customFormat="1" ht="20.100000000000001" customHeight="1">
      <c r="B17" s="183" t="s">
        <v>883</v>
      </c>
      <c r="C17" s="185">
        <v>8</v>
      </c>
      <c r="D17" s="193">
        <f>'OTHER REV.'!D32</f>
        <v>225000000</v>
      </c>
      <c r="E17" s="183"/>
      <c r="F17" s="193">
        <v>300000000</v>
      </c>
      <c r="G17" s="186"/>
    </row>
    <row r="18" spans="2:7" s="169" customFormat="1" ht="20.100000000000001" customHeight="1">
      <c r="B18" s="153" t="s">
        <v>884</v>
      </c>
      <c r="C18" s="154"/>
      <c r="D18" s="154"/>
      <c r="E18" s="188">
        <f>D8+D9+D10+D11+D12+D15+D16+D17</f>
        <v>66719055756.209999</v>
      </c>
      <c r="F18" s="154"/>
      <c r="G18" s="156">
        <f>SUM(F8:F17)</f>
        <v>56791187976.540009</v>
      </c>
    </row>
    <row r="19" spans="2:7" s="142" customFormat="1" ht="20.100000000000001" customHeight="1">
      <c r="B19" s="183"/>
      <c r="C19" s="196"/>
      <c r="D19" s="185"/>
      <c r="E19" s="183"/>
      <c r="F19" s="185"/>
      <c r="G19" s="186"/>
    </row>
    <row r="20" spans="2:7" s="142" customFormat="1" ht="20.100000000000001" customHeight="1">
      <c r="B20" s="153" t="s">
        <v>41</v>
      </c>
      <c r="C20" s="185"/>
      <c r="D20" s="185"/>
      <c r="E20" s="183"/>
      <c r="F20" s="185"/>
      <c r="G20" s="186"/>
    </row>
    <row r="21" spans="2:7" s="142" customFormat="1" ht="20.100000000000001" customHeight="1">
      <c r="B21" s="183" t="s">
        <v>13</v>
      </c>
      <c r="C21" s="196">
        <v>19</v>
      </c>
      <c r="D21" s="193">
        <f>'SALARIES (CASH)'!F105</f>
        <v>18450740807.59</v>
      </c>
      <c r="E21" s="183"/>
      <c r="F21" s="193">
        <v>16869696754.65</v>
      </c>
      <c r="G21" s="186"/>
    </row>
    <row r="22" spans="2:7" s="142" customFormat="1" ht="20.100000000000001" customHeight="1">
      <c r="B22" s="183" t="s">
        <v>1434</v>
      </c>
      <c r="C22" s="185">
        <v>19</v>
      </c>
      <c r="D22" s="193">
        <f>'SALARIES (CASH)'!F112</f>
        <v>426511101.46999997</v>
      </c>
      <c r="E22" s="183"/>
      <c r="F22" s="193">
        <v>672043094.25</v>
      </c>
      <c r="G22" s="186"/>
    </row>
    <row r="23" spans="2:7" s="503" customFormat="1" ht="20.100000000000001" customHeight="1">
      <c r="B23" s="183" t="s">
        <v>1997</v>
      </c>
      <c r="C23" s="504">
        <v>19</v>
      </c>
      <c r="D23" s="193">
        <f>'SALARIES (CASH)'!F118</f>
        <v>108000000</v>
      </c>
      <c r="E23" s="183"/>
      <c r="F23" s="193">
        <v>63000000</v>
      </c>
      <c r="G23" s="186"/>
    </row>
    <row r="24" spans="2:7" s="142" customFormat="1" ht="20.100000000000001" customHeight="1">
      <c r="B24" s="183" t="s">
        <v>820</v>
      </c>
      <c r="C24" s="196">
        <v>20</v>
      </c>
      <c r="D24" s="193">
        <f>'SOCIAL BENIFITS (CASH)'!D12</f>
        <v>5271939900.0900002</v>
      </c>
      <c r="E24" s="183"/>
      <c r="F24" s="193">
        <f>4785405022.31-63000000</f>
        <v>4722405022.3100004</v>
      </c>
      <c r="G24" s="186"/>
    </row>
    <row r="25" spans="2:7" s="142" customFormat="1" ht="20.100000000000001" customHeight="1">
      <c r="B25" s="183" t="s">
        <v>19</v>
      </c>
      <c r="C25" s="196">
        <v>21</v>
      </c>
      <c r="D25" s="193">
        <f>'SOCIAL BENIFITS (CASH)'!D24</f>
        <v>5325311802.7600002</v>
      </c>
      <c r="E25" s="183"/>
      <c r="F25" s="193">
        <v>7088980295.3899994</v>
      </c>
      <c r="G25" s="186"/>
    </row>
    <row r="26" spans="2:7" s="142" customFormat="1" ht="20.100000000000001" customHeight="1">
      <c r="B26" s="201" t="s">
        <v>14</v>
      </c>
      <c r="C26" s="185">
        <v>22</v>
      </c>
      <c r="D26" s="193">
        <f>'OVERHEAD (CASH)'!F208</f>
        <v>2615456299.7799997</v>
      </c>
      <c r="E26" s="183"/>
      <c r="F26" s="193">
        <v>2229855803.23</v>
      </c>
      <c r="G26" s="186"/>
    </row>
    <row r="27" spans="2:7" s="142" customFormat="1" ht="20.100000000000001" customHeight="1">
      <c r="B27" s="202" t="s">
        <v>1462</v>
      </c>
      <c r="C27" s="196">
        <v>23</v>
      </c>
      <c r="D27" s="193">
        <f>'TOF (CASH)'!F73</f>
        <v>12356054098.719999</v>
      </c>
      <c r="E27" s="183"/>
      <c r="F27" s="193">
        <v>6992510072.9000006</v>
      </c>
      <c r="G27" s="186"/>
    </row>
    <row r="28" spans="2:7" s="142" customFormat="1" ht="20.100000000000001" customHeight="1">
      <c r="B28" s="183" t="s">
        <v>15</v>
      </c>
      <c r="C28" s="196">
        <v>24</v>
      </c>
      <c r="D28" s="193">
        <f>'SUBVENTION (CASH)'!F19</f>
        <v>14595378328.1</v>
      </c>
      <c r="E28" s="183"/>
      <c r="F28" s="193">
        <v>14128842756.93</v>
      </c>
      <c r="G28" s="186"/>
    </row>
    <row r="29" spans="2:7" s="142" customFormat="1" ht="20.100000000000001" customHeight="1">
      <c r="B29" s="183" t="s">
        <v>1338</v>
      </c>
      <c r="C29" s="196">
        <v>7</v>
      </c>
      <c r="D29" s="193">
        <f>'OTHER REV.'!D21</f>
        <v>54468950</v>
      </c>
      <c r="E29" s="183"/>
      <c r="F29" s="193">
        <v>75676283.549999997</v>
      </c>
      <c r="G29" s="186"/>
    </row>
    <row r="30" spans="2:7" s="142" customFormat="1" ht="20.100000000000001" hidden="1" customHeight="1">
      <c r="B30" s="183" t="s">
        <v>889</v>
      </c>
      <c r="C30" s="185"/>
      <c r="D30" s="195"/>
      <c r="E30" s="183"/>
      <c r="F30" s="195">
        <v>0</v>
      </c>
      <c r="G30" s="186"/>
    </row>
    <row r="31" spans="2:7" s="169" customFormat="1" ht="20.100000000000001" customHeight="1">
      <c r="B31" s="153" t="s">
        <v>885</v>
      </c>
      <c r="C31" s="154"/>
      <c r="D31" s="154"/>
      <c r="E31" s="188">
        <f>SUM(D21:D30)</f>
        <v>59203861288.510002</v>
      </c>
      <c r="F31" s="154"/>
      <c r="G31" s="156">
        <f>SUM(F21:F30)</f>
        <v>52843010083.210007</v>
      </c>
    </row>
    <row r="32" spans="2:7" s="169" customFormat="1" ht="20.100000000000001" customHeight="1">
      <c r="B32" s="203" t="s">
        <v>886</v>
      </c>
      <c r="C32" s="154"/>
      <c r="D32" s="154"/>
      <c r="E32" s="188">
        <f>E18-E31</f>
        <v>7515194467.6999969</v>
      </c>
      <c r="F32" s="154"/>
      <c r="G32" s="188">
        <f>G18-G31</f>
        <v>3948177893.3300018</v>
      </c>
    </row>
    <row r="33" spans="2:7" s="142" customFormat="1" ht="20.100000000000001" customHeight="1">
      <c r="B33" s="183"/>
      <c r="C33" s="185"/>
      <c r="D33" s="185"/>
      <c r="E33" s="183"/>
      <c r="F33" s="185"/>
      <c r="G33" s="186"/>
    </row>
    <row r="34" spans="2:7" s="142" customFormat="1" ht="20.100000000000001" customHeight="1">
      <c r="B34" s="184" t="s">
        <v>50</v>
      </c>
      <c r="C34" s="185"/>
      <c r="D34" s="185"/>
      <c r="E34" s="183"/>
      <c r="F34" s="185"/>
      <c r="G34" s="186"/>
    </row>
    <row r="35" spans="2:7" s="142" customFormat="1" ht="20.100000000000001" customHeight="1">
      <c r="B35" s="153" t="s">
        <v>43</v>
      </c>
      <c r="C35" s="185"/>
      <c r="D35" s="185"/>
      <c r="E35" s="183"/>
      <c r="F35" s="185"/>
      <c r="G35" s="186"/>
    </row>
    <row r="36" spans="2:7" s="142" customFormat="1" ht="20.100000000000001" customHeight="1">
      <c r="B36" s="183" t="s">
        <v>44</v>
      </c>
      <c r="C36" s="196">
        <v>25</v>
      </c>
      <c r="D36" s="193">
        <f>-'CAPITAL (CASH)'!F135</f>
        <v>-702532362.81000006</v>
      </c>
      <c r="E36" s="183"/>
      <c r="F36" s="193">
        <v>-1069777137.29</v>
      </c>
      <c r="G36" s="186"/>
    </row>
    <row r="37" spans="2:7" s="142" customFormat="1" ht="20.100000000000001" customHeight="1">
      <c r="B37" s="183" t="s">
        <v>45</v>
      </c>
      <c r="C37" s="185">
        <v>25</v>
      </c>
      <c r="D37" s="193">
        <f>-'CAPITAL (CASH)'!F136</f>
        <v>-8348137947.1000004</v>
      </c>
      <c r="E37" s="183"/>
      <c r="F37" s="193">
        <v>-10754936666.68</v>
      </c>
      <c r="G37" s="186"/>
    </row>
    <row r="38" spans="2:7" s="142" customFormat="1" ht="20.100000000000001" customHeight="1">
      <c r="B38" s="183" t="s">
        <v>46</v>
      </c>
      <c r="C38" s="196">
        <v>25</v>
      </c>
      <c r="D38" s="193">
        <f>-'CAPITAL (CASH)'!F137</f>
        <v>0</v>
      </c>
      <c r="E38" s="183"/>
      <c r="F38" s="193">
        <v>0</v>
      </c>
      <c r="G38" s="186"/>
    </row>
    <row r="39" spans="2:7" s="142" customFormat="1" ht="20.100000000000001" customHeight="1">
      <c r="B39" s="201" t="s">
        <v>47</v>
      </c>
      <c r="C39" s="185">
        <v>25</v>
      </c>
      <c r="D39" s="193">
        <f>'CAPITAL (CASH)'!F138</f>
        <v>0</v>
      </c>
      <c r="E39" s="183"/>
      <c r="F39" s="193">
        <v>-351624183.70999998</v>
      </c>
      <c r="G39" s="186"/>
    </row>
    <row r="40" spans="2:7" s="142" customFormat="1" ht="20.100000000000001" customHeight="1">
      <c r="B40" s="201" t="s">
        <v>48</v>
      </c>
      <c r="C40" s="196">
        <v>25</v>
      </c>
      <c r="D40" s="193">
        <f>-'CAPITAL (CASH)'!F139</f>
        <v>-2915468066.6999998</v>
      </c>
      <c r="E40" s="183"/>
      <c r="F40" s="193">
        <v>-1176968743.77</v>
      </c>
      <c r="G40" s="186"/>
    </row>
    <row r="41" spans="2:7" s="169" customFormat="1" ht="20.100000000000001" customHeight="1">
      <c r="B41" s="153" t="s">
        <v>49</v>
      </c>
      <c r="C41" s="154"/>
      <c r="D41" s="154"/>
      <c r="E41" s="188">
        <f>SUM(D36:D40)</f>
        <v>-11966138376.610001</v>
      </c>
      <c r="F41" s="154"/>
      <c r="G41" s="156">
        <f>SUM(F36:F40)</f>
        <v>-13353306731.450001</v>
      </c>
    </row>
    <row r="42" spans="2:7" s="142" customFormat="1" ht="20.100000000000001" customHeight="1">
      <c r="B42" s="183"/>
      <c r="C42" s="185"/>
      <c r="D42" s="185"/>
      <c r="E42" s="183"/>
      <c r="F42" s="185"/>
      <c r="G42" s="186"/>
    </row>
    <row r="43" spans="2:7" s="142" customFormat="1" ht="20.100000000000001" customHeight="1">
      <c r="B43" s="184" t="s">
        <v>51</v>
      </c>
      <c r="C43" s="154"/>
      <c r="D43" s="185"/>
      <c r="E43" s="183"/>
      <c r="F43" s="185"/>
      <c r="G43" s="186"/>
    </row>
    <row r="44" spans="2:7" s="142" customFormat="1" ht="20.100000000000001" customHeight="1">
      <c r="B44" s="183" t="s">
        <v>53</v>
      </c>
      <c r="C44" s="185">
        <v>26</v>
      </c>
      <c r="D44" s="193">
        <f>'FOREIGN&amp;LLOCAL LOAN'!E11</f>
        <v>9709551141.0799999</v>
      </c>
      <c r="E44" s="183"/>
      <c r="F44" s="193">
        <v>4008926117.5700006</v>
      </c>
      <c r="G44" s="186"/>
    </row>
    <row r="45" spans="2:7" s="142" customFormat="1" ht="20.100000000000001" customHeight="1">
      <c r="B45" s="183" t="s">
        <v>52</v>
      </c>
      <c r="C45" s="185">
        <v>27</v>
      </c>
      <c r="D45" s="193">
        <f>'FOREIGN&amp;LLOCAL LOAN'!E18</f>
        <v>287500000</v>
      </c>
      <c r="E45" s="183"/>
      <c r="F45" s="193">
        <v>8495000000</v>
      </c>
      <c r="G45" s="186"/>
    </row>
    <row r="46" spans="2:7" s="142" customFormat="1" ht="20.100000000000001" customHeight="1">
      <c r="B46" s="183" t="s">
        <v>898</v>
      </c>
      <c r="C46" s="185">
        <v>28</v>
      </c>
      <c r="D46" s="193">
        <f>-'F LOANS REPYT '!F38</f>
        <v>-423196344.28000003</v>
      </c>
      <c r="E46" s="183"/>
      <c r="F46" s="193">
        <v>-608306460.88000011</v>
      </c>
      <c r="G46" s="186"/>
    </row>
    <row r="47" spans="2:7" s="142" customFormat="1" ht="20.100000000000001" customHeight="1">
      <c r="B47" s="183" t="s">
        <v>899</v>
      </c>
      <c r="C47" s="185">
        <v>29</v>
      </c>
      <c r="D47" s="193">
        <f>-'D LOANS REPYT '!G19</f>
        <v>-6865126153.4799995</v>
      </c>
      <c r="E47" s="183"/>
      <c r="F47" s="193">
        <v>-4684448890.5299997</v>
      </c>
      <c r="G47" s="186"/>
    </row>
    <row r="48" spans="2:7" s="169" customFormat="1" ht="20.100000000000001" customHeight="1">
      <c r="B48" s="153" t="s">
        <v>54</v>
      </c>
      <c r="C48" s="154"/>
      <c r="D48" s="154"/>
      <c r="E48" s="188">
        <f>SUM(D44:D47)</f>
        <v>2708728643.3199997</v>
      </c>
      <c r="F48" s="156"/>
      <c r="G48" s="156">
        <f>SUM(F44:F47)</f>
        <v>7211170766.1599989</v>
      </c>
    </row>
    <row r="49" spans="2:7" s="142" customFormat="1" ht="20.100000000000001" customHeight="1">
      <c r="B49" s="183"/>
      <c r="C49" s="185"/>
      <c r="D49" s="185"/>
      <c r="E49" s="183"/>
      <c r="F49" s="186"/>
      <c r="G49" s="186"/>
    </row>
    <row r="50" spans="2:7" s="169" customFormat="1" ht="20.100000000000001" customHeight="1">
      <c r="B50" s="153" t="s">
        <v>55</v>
      </c>
      <c r="C50" s="154"/>
      <c r="D50" s="154"/>
      <c r="E50" s="188">
        <f>E48+E41+E32</f>
        <v>-1742215265.590004</v>
      </c>
      <c r="F50" s="188"/>
      <c r="G50" s="188">
        <f>G48+G41+G32</f>
        <v>-2193958071.96</v>
      </c>
    </row>
    <row r="51" spans="2:7" s="142" customFormat="1" ht="20.100000000000001" hidden="1" customHeight="1">
      <c r="B51" s="183"/>
      <c r="C51" s="185"/>
      <c r="D51" s="185"/>
      <c r="E51" s="183"/>
      <c r="F51" s="186"/>
      <c r="G51" s="186"/>
    </row>
    <row r="52" spans="2:7" s="169" customFormat="1" ht="20.100000000000001" customHeight="1">
      <c r="B52" s="189" t="s">
        <v>56</v>
      </c>
      <c r="C52" s="196"/>
      <c r="D52" s="196"/>
      <c r="E52" s="199">
        <v>13693453227.5</v>
      </c>
      <c r="F52" s="199"/>
      <c r="G52" s="199">
        <v>13578026761.940001</v>
      </c>
    </row>
    <row r="53" spans="2:7" s="169" customFormat="1" ht="20.100000000000001" customHeight="1">
      <c r="B53" s="153" t="s">
        <v>1566</v>
      </c>
      <c r="C53" s="154"/>
      <c r="D53" s="154"/>
      <c r="E53" s="156">
        <f>E52+E50</f>
        <v>11951237961.909996</v>
      </c>
      <c r="F53" s="156"/>
      <c r="G53" s="156">
        <f>G52+G50</f>
        <v>11384068689.98</v>
      </c>
    </row>
    <row r="54" spans="2:7" s="204" customFormat="1" ht="20.100000000000001" hidden="1" customHeight="1">
      <c r="C54" s="205"/>
      <c r="D54" s="205"/>
      <c r="E54" s="206">
        <v>13098337338.030001</v>
      </c>
    </row>
    <row r="55" spans="2:7" s="204" customFormat="1" ht="20.100000000000001" hidden="1" customHeight="1">
      <c r="C55" s="205"/>
      <c r="D55" s="205"/>
      <c r="E55" s="207">
        <f>E54-E53</f>
        <v>1147099376.1200047</v>
      </c>
    </row>
    <row r="56" spans="2:7" s="204" customFormat="1" ht="20.100000000000001" customHeight="1">
      <c r="B56" s="579" t="s">
        <v>1406</v>
      </c>
      <c r="C56" s="579"/>
      <c r="D56" s="579"/>
      <c r="E56" s="579"/>
      <c r="F56" s="579"/>
      <c r="G56" s="579"/>
    </row>
    <row r="57" spans="2:7" s="204" customFormat="1" ht="20.100000000000001" customHeight="1">
      <c r="C57" s="205"/>
      <c r="D57" s="205"/>
    </row>
    <row r="58" spans="2:7" s="4" customFormat="1" ht="20.100000000000001" customHeight="1">
      <c r="C58" s="5"/>
      <c r="D58" s="5"/>
    </row>
    <row r="59" spans="2:7" s="4" customFormat="1" ht="20.100000000000001" customHeight="1">
      <c r="C59" s="5"/>
      <c r="D59" s="5"/>
    </row>
    <row r="60" spans="2:7" ht="20.100000000000001" customHeight="1"/>
    <row r="61" spans="2:7" ht="20.100000000000001" customHeight="1"/>
    <row r="62" spans="2:7" ht="20.100000000000001" customHeight="1"/>
    <row r="63" spans="2:7" ht="20.100000000000001" customHeight="1"/>
    <row r="64" spans="2:7" ht="20.100000000000001" customHeight="1"/>
    <row r="65" ht="20.100000000000001" customHeight="1"/>
  </sheetData>
  <mergeCells count="6">
    <mergeCell ref="B1:G1"/>
    <mergeCell ref="B3:G3"/>
    <mergeCell ref="D4:E4"/>
    <mergeCell ref="F4:G4"/>
    <mergeCell ref="B56:G56"/>
    <mergeCell ref="B2:G2"/>
  </mergeCells>
  <pageMargins left="0.5" right="0.5" top="0.75" bottom="0.25" header="0.3" footer="0.25"/>
  <pageSetup paperSize="9" firstPageNumber="77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1"/>
  <sheetViews>
    <sheetView workbookViewId="0">
      <selection activeCell="B1" sqref="B1:G1"/>
    </sheetView>
  </sheetViews>
  <sheetFormatPr defaultRowHeight="15"/>
  <cols>
    <col min="1" max="1" width="2.85546875" customWidth="1"/>
    <col min="2" max="2" width="49.28515625" customWidth="1"/>
    <col min="3" max="3" width="7.42578125" style="1" customWidth="1"/>
    <col min="4" max="4" width="18.7109375" style="1" customWidth="1"/>
    <col min="5" max="5" width="17.42578125" customWidth="1"/>
    <col min="6" max="6" width="19.140625" customWidth="1"/>
    <col min="7" max="7" width="18.7109375" customWidth="1"/>
  </cols>
  <sheetData>
    <row r="1" spans="2:7" s="208" customFormat="1" ht="24.95" customHeight="1">
      <c r="B1" s="588" t="s">
        <v>0</v>
      </c>
      <c r="C1" s="588"/>
      <c r="D1" s="588"/>
      <c r="E1" s="588"/>
      <c r="F1" s="588"/>
      <c r="G1" s="588"/>
    </row>
    <row r="2" spans="2:7" s="208" customFormat="1" ht="24.95" customHeight="1">
      <c r="B2" s="589" t="s">
        <v>1416</v>
      </c>
      <c r="C2" s="589"/>
      <c r="D2" s="589"/>
      <c r="E2" s="589"/>
      <c r="F2" s="589"/>
      <c r="G2" s="589"/>
    </row>
    <row r="3" spans="2:7" s="208" customFormat="1" ht="24.95" customHeight="1">
      <c r="B3" s="589" t="s">
        <v>1567</v>
      </c>
      <c r="C3" s="589"/>
      <c r="D3" s="589"/>
      <c r="E3" s="589"/>
      <c r="F3" s="589"/>
      <c r="G3" s="589"/>
    </row>
    <row r="4" spans="2:7" s="142" customFormat="1" ht="9" customHeight="1">
      <c r="C4" s="191"/>
      <c r="D4" s="191"/>
    </row>
    <row r="5" spans="2:7" s="142" customFormat="1" ht="28.5" customHeight="1">
      <c r="B5" s="179"/>
      <c r="C5" s="154" t="s">
        <v>1</v>
      </c>
      <c r="D5" s="179" t="s">
        <v>975</v>
      </c>
      <c r="E5" s="179" t="s">
        <v>976</v>
      </c>
      <c r="F5" s="179" t="s">
        <v>977</v>
      </c>
      <c r="G5" s="179" t="s">
        <v>65</v>
      </c>
    </row>
    <row r="6" spans="2:7" s="142" customFormat="1" ht="24.95" customHeight="1">
      <c r="B6" s="182"/>
      <c r="C6" s="172"/>
      <c r="D6" s="180" t="s">
        <v>1458</v>
      </c>
      <c r="E6" s="182" t="s">
        <v>1458</v>
      </c>
      <c r="F6" s="182" t="s">
        <v>1458</v>
      </c>
      <c r="G6" s="182" t="s">
        <v>1458</v>
      </c>
    </row>
    <row r="7" spans="2:7" s="142" customFormat="1" ht="21.95" customHeight="1">
      <c r="B7" s="183" t="s">
        <v>980</v>
      </c>
      <c r="C7" s="154"/>
      <c r="D7" s="195"/>
      <c r="E7" s="186"/>
      <c r="F7" s="186"/>
      <c r="G7" s="186">
        <v>-83615051894.880005</v>
      </c>
    </row>
    <row r="8" spans="2:7" s="142" customFormat="1" ht="21.95" customHeight="1">
      <c r="B8" s="189" t="s">
        <v>978</v>
      </c>
      <c r="C8" s="185"/>
      <c r="D8" s="195"/>
      <c r="E8" s="186"/>
      <c r="F8" s="186"/>
      <c r="G8" s="186">
        <f>SUM(D8:F8)</f>
        <v>0</v>
      </c>
    </row>
    <row r="9" spans="2:7" s="169" customFormat="1" ht="21.95" customHeight="1">
      <c r="B9" s="153" t="s">
        <v>979</v>
      </c>
      <c r="C9" s="154"/>
      <c r="D9" s="155"/>
      <c r="E9" s="155"/>
      <c r="F9" s="155"/>
      <c r="G9" s="156"/>
    </row>
    <row r="10" spans="2:7" s="169" customFormat="1" ht="27" customHeight="1">
      <c r="B10" s="209" t="s">
        <v>1992</v>
      </c>
      <c r="C10" s="154"/>
      <c r="D10" s="198">
        <v>-336557636.48000002</v>
      </c>
      <c r="E10" s="155"/>
      <c r="F10" s="155"/>
      <c r="G10" s="156">
        <f>D10</f>
        <v>-336557636.48000002</v>
      </c>
    </row>
    <row r="11" spans="2:7" s="169" customFormat="1" ht="26.25" customHeight="1">
      <c r="B11" s="210" t="s">
        <v>1968</v>
      </c>
      <c r="C11" s="154"/>
      <c r="D11" s="198">
        <v>2312941643.0300002</v>
      </c>
      <c r="E11" s="155"/>
      <c r="F11" s="155"/>
      <c r="G11" s="156">
        <f>D11</f>
        <v>2312941643.0300002</v>
      </c>
    </row>
    <row r="12" spans="2:7" s="142" customFormat="1" ht="27.75" customHeight="1">
      <c r="B12" s="211" t="s">
        <v>1522</v>
      </c>
      <c r="C12" s="185">
        <v>35</v>
      </c>
      <c r="D12" s="195">
        <f>'BOND SINKING '!D26</f>
        <v>-965316000</v>
      </c>
      <c r="E12" s="186"/>
      <c r="F12" s="186"/>
      <c r="G12" s="186">
        <f>D12</f>
        <v>-965316000</v>
      </c>
    </row>
    <row r="13" spans="2:7" s="142" customFormat="1" ht="27" customHeight="1">
      <c r="B13" s="211" t="s">
        <v>1919</v>
      </c>
      <c r="C13" s="185"/>
      <c r="D13" s="195">
        <v>2309384537.52</v>
      </c>
      <c r="E13" s="186"/>
      <c r="F13" s="186"/>
      <c r="G13" s="186">
        <f>D13</f>
        <v>2309384537.52</v>
      </c>
    </row>
    <row r="14" spans="2:7" s="169" customFormat="1" ht="21.95" customHeight="1">
      <c r="B14" s="153" t="s">
        <v>1407</v>
      </c>
      <c r="C14" s="154"/>
      <c r="D14" s="155"/>
      <c r="E14" s="156"/>
      <c r="F14" s="199">
        <f>'F. PERFORMANCE'!E41</f>
        <v>4338149568.4429989</v>
      </c>
      <c r="G14" s="156"/>
    </row>
    <row r="15" spans="2:7" s="142" customFormat="1" ht="21.95" customHeight="1">
      <c r="B15" s="189" t="s">
        <v>981</v>
      </c>
      <c r="C15" s="196"/>
      <c r="D15" s="195"/>
      <c r="E15" s="186"/>
      <c r="F15" s="186"/>
      <c r="G15" s="186"/>
    </row>
    <row r="16" spans="2:7" s="142" customFormat="1" ht="27" customHeight="1">
      <c r="B16" s="211" t="s">
        <v>1456</v>
      </c>
      <c r="C16" s="196"/>
      <c r="D16" s="198">
        <f>'OTHER REV.'!D8</f>
        <v>0</v>
      </c>
      <c r="E16" s="186"/>
      <c r="F16" s="186"/>
      <c r="G16" s="186">
        <f>D16+E16+F16</f>
        <v>0</v>
      </c>
    </row>
    <row r="17" spans="2:7" s="142" customFormat="1" ht="21.95" customHeight="1">
      <c r="B17" s="189" t="s">
        <v>982</v>
      </c>
      <c r="C17" s="185"/>
      <c r="D17" s="191"/>
      <c r="E17" s="186"/>
      <c r="F17" s="186"/>
      <c r="G17" s="186"/>
    </row>
    <row r="18" spans="2:7" s="142" customFormat="1" ht="27" customHeight="1">
      <c r="B18" s="211" t="s">
        <v>1967</v>
      </c>
      <c r="C18" s="196">
        <v>34</v>
      </c>
      <c r="D18" s="198">
        <v>11792418.01</v>
      </c>
      <c r="E18" s="186"/>
      <c r="F18" s="186"/>
      <c r="G18" s="186">
        <f>F18+E18+D18</f>
        <v>11792418.01</v>
      </c>
    </row>
    <row r="19" spans="2:7" s="169" customFormat="1" ht="21.95" customHeight="1">
      <c r="B19" s="203" t="s">
        <v>980</v>
      </c>
      <c r="C19" s="154"/>
      <c r="D19" s="155"/>
      <c r="E19" s="156"/>
      <c r="F19" s="156">
        <f>F14</f>
        <v>4338149568.4429989</v>
      </c>
      <c r="G19" s="156">
        <f>SUM(G7:G18)</f>
        <v>-80282806932.800003</v>
      </c>
    </row>
    <row r="20" spans="2:7" s="204" customFormat="1" ht="20.100000000000001" hidden="1" customHeight="1">
      <c r="C20" s="205"/>
      <c r="D20" s="205"/>
      <c r="E20" s="206">
        <v>13098337338.030001</v>
      </c>
      <c r="F20" s="206"/>
    </row>
    <row r="21" spans="2:7" s="204" customFormat="1" ht="20.100000000000001" hidden="1" customHeight="1">
      <c r="C21" s="205"/>
      <c r="D21" s="205"/>
      <c r="E21" s="207" t="e">
        <f>E20-#REF!</f>
        <v>#REF!</v>
      </c>
      <c r="F21" s="207"/>
    </row>
    <row r="22" spans="2:7" s="204" customFormat="1" ht="12.75" customHeight="1">
      <c r="C22" s="205"/>
      <c r="D22" s="205"/>
    </row>
    <row r="23" spans="2:7" s="204" customFormat="1" ht="20.100000000000001" customHeight="1">
      <c r="B23" s="579" t="s">
        <v>1406</v>
      </c>
      <c r="C23" s="579"/>
      <c r="D23" s="579"/>
      <c r="E23" s="579"/>
      <c r="F23" s="579"/>
      <c r="G23" s="579"/>
    </row>
    <row r="24" spans="2:7" s="204" customFormat="1" ht="20.100000000000001" customHeight="1">
      <c r="C24" s="205"/>
      <c r="D24" s="205"/>
    </row>
    <row r="25" spans="2:7" s="204" customFormat="1" ht="20.100000000000001" customHeight="1">
      <c r="C25" s="205"/>
      <c r="D25" s="205"/>
    </row>
    <row r="26" spans="2:7" s="142" customFormat="1" ht="20.100000000000001" customHeight="1">
      <c r="C26" s="191"/>
      <c r="D26" s="191"/>
    </row>
    <row r="27" spans="2:7" s="142" customFormat="1" ht="20.100000000000001" customHeight="1">
      <c r="C27" s="191"/>
      <c r="D27" s="191"/>
    </row>
    <row r="28" spans="2:7" s="142" customFormat="1" ht="20.100000000000001" customHeight="1">
      <c r="C28" s="191"/>
      <c r="D28" s="191"/>
    </row>
    <row r="29" spans="2:7" ht="20.100000000000001" customHeight="1"/>
    <row r="30" spans="2:7" ht="20.100000000000001" customHeight="1"/>
    <row r="31" spans="2:7" ht="20.100000000000001" customHeight="1"/>
  </sheetData>
  <mergeCells count="4">
    <mergeCell ref="B1:G1"/>
    <mergeCell ref="B3:G3"/>
    <mergeCell ref="B23:G23"/>
    <mergeCell ref="B2:G2"/>
  </mergeCells>
  <pageMargins left="0.5" right="0.5" top="0.75" bottom="0.25" header="0.3" footer="0.5"/>
  <pageSetup paperSize="9" firstPageNumber="79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3"/>
  <sheetViews>
    <sheetView topLeftCell="B31" workbookViewId="0">
      <selection activeCell="F48" sqref="F48"/>
    </sheetView>
  </sheetViews>
  <sheetFormatPr defaultRowHeight="15"/>
  <cols>
    <col min="1" max="1" width="2.85546875" customWidth="1"/>
    <col min="2" max="2" width="36.7109375" customWidth="1"/>
    <col min="3" max="3" width="9.42578125" style="1" hidden="1" customWidth="1"/>
    <col min="4" max="4" width="18.7109375" style="1" customWidth="1"/>
    <col min="5" max="5" width="18.7109375" customWidth="1"/>
    <col min="6" max="6" width="18.7109375" style="174" customWidth="1"/>
    <col min="7" max="7" width="18.7109375" customWidth="1"/>
    <col min="8" max="8" width="15.42578125" customWidth="1"/>
    <col min="11" max="11" width="18" hidden="1" customWidth="1"/>
  </cols>
  <sheetData>
    <row r="1" spans="2:11" ht="24.95" customHeight="1">
      <c r="B1" s="582" t="s">
        <v>0</v>
      </c>
      <c r="C1" s="582"/>
      <c r="D1" s="582"/>
      <c r="E1" s="582"/>
      <c r="F1" s="582"/>
      <c r="G1" s="582"/>
      <c r="H1" s="582"/>
    </row>
    <row r="2" spans="2:11" ht="24.95" customHeight="1">
      <c r="B2" s="582" t="s">
        <v>1362</v>
      </c>
      <c r="C2" s="582"/>
      <c r="D2" s="582"/>
      <c r="E2" s="582"/>
      <c r="F2" s="582"/>
      <c r="G2" s="582"/>
      <c r="H2" s="582"/>
    </row>
    <row r="3" spans="2:11" ht="24.95" customHeight="1">
      <c r="B3" s="583" t="s">
        <v>1562</v>
      </c>
      <c r="C3" s="583"/>
      <c r="D3" s="583"/>
      <c r="E3" s="583"/>
      <c r="F3" s="583"/>
      <c r="G3" s="583"/>
      <c r="H3" s="583"/>
    </row>
    <row r="4" spans="2:11" ht="9" customHeight="1"/>
    <row r="5" spans="2:11" s="142" customFormat="1" ht="27.75" customHeight="1">
      <c r="B5" s="179"/>
      <c r="C5" s="154" t="s">
        <v>1</v>
      </c>
      <c r="D5" s="154" t="s">
        <v>983</v>
      </c>
      <c r="E5" s="179" t="s">
        <v>802</v>
      </c>
      <c r="F5" s="179" t="s">
        <v>2007</v>
      </c>
      <c r="G5" s="179" t="s">
        <v>2010</v>
      </c>
      <c r="H5" s="179" t="s">
        <v>57</v>
      </c>
    </row>
    <row r="6" spans="2:11" s="142" customFormat="1" ht="24.95" customHeight="1">
      <c r="B6" s="182"/>
      <c r="C6" s="172"/>
      <c r="D6" s="180" t="s">
        <v>1458</v>
      </c>
      <c r="E6" s="182" t="s">
        <v>1458</v>
      </c>
      <c r="F6" s="182" t="s">
        <v>1458</v>
      </c>
      <c r="G6" s="182" t="s">
        <v>1458</v>
      </c>
      <c r="H6" s="182" t="s">
        <v>1458</v>
      </c>
    </row>
    <row r="7" spans="2:11" s="142" customFormat="1" ht="24.95" customHeight="1">
      <c r="B7" s="182"/>
      <c r="C7" s="172"/>
      <c r="D7" s="172" t="s">
        <v>75</v>
      </c>
      <c r="E7" s="172" t="s">
        <v>76</v>
      </c>
      <c r="F7" s="510" t="s">
        <v>77</v>
      </c>
      <c r="G7" s="510" t="s">
        <v>2008</v>
      </c>
      <c r="H7" s="172" t="s">
        <v>1560</v>
      </c>
    </row>
    <row r="8" spans="2:11" s="142" customFormat="1" ht="24.95" customHeight="1">
      <c r="B8" s="201" t="s">
        <v>903</v>
      </c>
      <c r="C8" s="212"/>
      <c r="D8" s="198">
        <f>146938487.33+2309384537.52+11237130202.65</f>
        <v>13693453227.5</v>
      </c>
      <c r="E8" s="198">
        <v>7000000000</v>
      </c>
      <c r="F8" s="198">
        <v>7000000000</v>
      </c>
      <c r="G8" s="198">
        <f>E8-D8</f>
        <v>-6693453227.5</v>
      </c>
      <c r="H8" s="198">
        <f>D8/E8%</f>
        <v>195.62076039285714</v>
      </c>
      <c r="K8" s="213"/>
    </row>
    <row r="9" spans="2:11" s="142" customFormat="1" ht="24.95" customHeight="1">
      <c r="B9" s="184" t="s">
        <v>58</v>
      </c>
      <c r="C9" s="154"/>
      <c r="D9" s="185"/>
      <c r="E9" s="183"/>
      <c r="F9" s="183"/>
      <c r="G9" s="155"/>
      <c r="H9" s="155"/>
    </row>
    <row r="10" spans="2:11" s="142" customFormat="1" ht="24.95" customHeight="1">
      <c r="B10" s="183" t="s">
        <v>5</v>
      </c>
      <c r="C10" s="185">
        <v>1</v>
      </c>
      <c r="D10" s="195">
        <f>'FAAC (1)'!E21</f>
        <v>38019908660.69001</v>
      </c>
      <c r="E10" s="195">
        <v>36566274422.32</v>
      </c>
      <c r="F10" s="195">
        <v>32970737571.98</v>
      </c>
      <c r="G10" s="198">
        <f>E10-D10</f>
        <v>-1453634238.3700104</v>
      </c>
      <c r="H10" s="198">
        <f>D10/E10%</f>
        <v>103.97534138036964</v>
      </c>
    </row>
    <row r="11" spans="2:11" s="142" customFormat="1" ht="24.95" customHeight="1">
      <c r="B11" s="183" t="s">
        <v>803</v>
      </c>
      <c r="C11" s="185">
        <v>2</v>
      </c>
      <c r="D11" s="195">
        <f>VAT!C21</f>
        <v>10214624926.439999</v>
      </c>
      <c r="E11" s="195">
        <v>11000000000</v>
      </c>
      <c r="F11" s="195">
        <v>10500000000</v>
      </c>
      <c r="G11" s="198">
        <f>E11-D11</f>
        <v>785375073.56000137</v>
      </c>
      <c r="H11" s="198">
        <f>D11/E11%</f>
        <v>92.86022660399999</v>
      </c>
    </row>
    <row r="12" spans="2:11" s="142" customFormat="1" ht="24.95" customHeight="1">
      <c r="B12" s="183" t="s">
        <v>72</v>
      </c>
      <c r="C12" s="185">
        <v>3</v>
      </c>
      <c r="D12" s="195">
        <f>'FAAC (2)'!I20</f>
        <v>6009175979.5999994</v>
      </c>
      <c r="E12" s="195">
        <v>21983123267.02</v>
      </c>
      <c r="F12" s="195">
        <f>12000000000+2000000000+2000000000+7000000000</f>
        <v>23000000000</v>
      </c>
      <c r="G12" s="198">
        <f t="shared" ref="G12:G20" si="0">E12-D12</f>
        <v>15973947287.420002</v>
      </c>
      <c r="H12" s="198">
        <f t="shared" ref="H12:H22" si="1">D12/E12%</f>
        <v>27.33540592303013</v>
      </c>
    </row>
    <row r="13" spans="2:11" s="142" customFormat="1" ht="24.95" customHeight="1">
      <c r="B13" s="183" t="s">
        <v>6</v>
      </c>
      <c r="C13" s="185">
        <v>5</v>
      </c>
      <c r="D13" s="195">
        <f>IGR!E17</f>
        <v>4799846715.3199997</v>
      </c>
      <c r="E13" s="195">
        <f>IGR!F17</f>
        <v>4761902886.9299994</v>
      </c>
      <c r="F13" s="195">
        <f>4624989954.21-0.38</f>
        <v>4624989953.8299999</v>
      </c>
      <c r="G13" s="198">
        <f t="shared" si="0"/>
        <v>-37943828.390000343</v>
      </c>
      <c r="H13" s="198">
        <f t="shared" si="1"/>
        <v>100.79682070993394</v>
      </c>
    </row>
    <row r="14" spans="2:11" s="142" customFormat="1" ht="24.95" customHeight="1">
      <c r="B14" s="183" t="s">
        <v>7</v>
      </c>
      <c r="C14" s="185">
        <v>5</v>
      </c>
      <c r="D14" s="195">
        <f>IGR!E28</f>
        <v>7149308142.3500004</v>
      </c>
      <c r="E14" s="195">
        <f>IGR!F28</f>
        <v>8322455014.7000008</v>
      </c>
      <c r="F14" s="195">
        <v>6800954491.04</v>
      </c>
      <c r="G14" s="198">
        <f t="shared" si="0"/>
        <v>1173146872.3500004</v>
      </c>
      <c r="H14" s="198">
        <f t="shared" si="1"/>
        <v>85.903836424734465</v>
      </c>
    </row>
    <row r="15" spans="2:11" s="142" customFormat="1" ht="24.95" customHeight="1">
      <c r="B15" s="183" t="s">
        <v>11</v>
      </c>
      <c r="C15" s="185">
        <v>6</v>
      </c>
      <c r="D15" s="195">
        <f>'OTHER REV.'!D14</f>
        <v>246722381.81</v>
      </c>
      <c r="E15" s="195">
        <v>0</v>
      </c>
      <c r="F15" s="195"/>
      <c r="G15" s="198">
        <f t="shared" si="0"/>
        <v>-246722381.81</v>
      </c>
      <c r="H15" s="198">
        <v>0</v>
      </c>
    </row>
    <row r="16" spans="2:11" s="142" customFormat="1" ht="24.95" customHeight="1">
      <c r="B16" s="189" t="s">
        <v>10</v>
      </c>
      <c r="C16" s="185">
        <v>7</v>
      </c>
      <c r="D16" s="195">
        <f>'OTHER REV.'!D21</f>
        <v>54468950</v>
      </c>
      <c r="E16" s="195">
        <v>2483694816.8699999</v>
      </c>
      <c r="F16" s="195">
        <f>1200000000+1283694816.87</f>
        <v>2483694816.8699999</v>
      </c>
      <c r="G16" s="198">
        <f t="shared" si="0"/>
        <v>2429225866.8699999</v>
      </c>
      <c r="H16" s="198">
        <v>0</v>
      </c>
    </row>
    <row r="17" spans="2:11" s="142" customFormat="1" ht="24.95" customHeight="1">
      <c r="B17" s="183" t="s">
        <v>883</v>
      </c>
      <c r="C17" s="185">
        <v>8</v>
      </c>
      <c r="D17" s="195">
        <f>'OTHER REV.'!D32</f>
        <v>225000000</v>
      </c>
      <c r="E17" s="195">
        <f>'OTHER REV.'!E31</f>
        <v>300000000</v>
      </c>
      <c r="F17" s="195"/>
      <c r="G17" s="198">
        <f t="shared" si="0"/>
        <v>75000000</v>
      </c>
      <c r="H17" s="198">
        <v>0</v>
      </c>
    </row>
    <row r="18" spans="2:11" s="142" customFormat="1" ht="24.95" customHeight="1">
      <c r="B18" s="183" t="s">
        <v>53</v>
      </c>
      <c r="C18" s="185">
        <v>26</v>
      </c>
      <c r="D18" s="193">
        <f>'FOREIGN&amp;LLOCAL LOAN'!E11</f>
        <v>9709551141.0799999</v>
      </c>
      <c r="E18" s="195">
        <v>13120622405.68</v>
      </c>
      <c r="F18" s="195">
        <f>3644179121.66+4586989085.28-0.44</f>
        <v>8231168206.5</v>
      </c>
      <c r="G18" s="198">
        <f t="shared" si="0"/>
        <v>3411071264.6000004</v>
      </c>
      <c r="H18" s="198">
        <f t="shared" si="1"/>
        <v>74.002214535772893</v>
      </c>
    </row>
    <row r="19" spans="2:11" s="142" customFormat="1" ht="24.95" customHeight="1">
      <c r="B19" s="183" t="s">
        <v>52</v>
      </c>
      <c r="C19" s="185">
        <v>27</v>
      </c>
      <c r="D19" s="193">
        <f>'FOREIGN&amp;LLOCAL LOAN'!E18</f>
        <v>287500000</v>
      </c>
      <c r="E19" s="195">
        <v>2000000000</v>
      </c>
      <c r="F19" s="195">
        <v>2000000000</v>
      </c>
      <c r="G19" s="198">
        <f t="shared" si="0"/>
        <v>1712500000</v>
      </c>
      <c r="H19" s="198">
        <f t="shared" si="1"/>
        <v>14.375</v>
      </c>
    </row>
    <row r="20" spans="2:11" s="142" customFormat="1" ht="24.95" customHeight="1">
      <c r="B20" s="183" t="s">
        <v>1457</v>
      </c>
      <c r="C20" s="185"/>
      <c r="D20" s="193"/>
      <c r="E20" s="195">
        <v>1000000000</v>
      </c>
      <c r="F20" s="195">
        <v>1000000000</v>
      </c>
      <c r="G20" s="198">
        <f t="shared" si="0"/>
        <v>1000000000</v>
      </c>
      <c r="H20" s="198">
        <v>0</v>
      </c>
    </row>
    <row r="21" spans="2:11" s="169" customFormat="1" ht="24.95" customHeight="1">
      <c r="B21" s="153" t="s">
        <v>905</v>
      </c>
      <c r="C21" s="154"/>
      <c r="D21" s="155">
        <f>SUM(D10:D20)</f>
        <v>76716106897.289993</v>
      </c>
      <c r="E21" s="155">
        <f>SUM(E10:E20)</f>
        <v>101538072813.51999</v>
      </c>
      <c r="F21" s="155">
        <f>SUM(F10:F20)</f>
        <v>91611545040.219986</v>
      </c>
      <c r="G21" s="155">
        <f>SUM(G10:G19)</f>
        <v>23821965916.229996</v>
      </c>
      <c r="H21" s="198">
        <f t="shared" si="1"/>
        <v>75.554030888672827</v>
      </c>
    </row>
    <row r="22" spans="2:11" s="169" customFormat="1" ht="24.95" customHeight="1">
      <c r="B22" s="153" t="s">
        <v>904</v>
      </c>
      <c r="C22" s="154"/>
      <c r="D22" s="155">
        <f>D8+D21</f>
        <v>90409560124.789993</v>
      </c>
      <c r="E22" s="155">
        <f>E8+E21</f>
        <v>108538072813.51999</v>
      </c>
      <c r="F22" s="155">
        <f>F8+F21</f>
        <v>98611545040.219986</v>
      </c>
      <c r="G22" s="155">
        <f>G8+G21</f>
        <v>17128512688.729996</v>
      </c>
      <c r="H22" s="198">
        <f t="shared" si="1"/>
        <v>83.297554287815018</v>
      </c>
    </row>
    <row r="23" spans="2:11" s="142" customFormat="1" ht="24.95" customHeight="1">
      <c r="B23" s="184" t="s">
        <v>59</v>
      </c>
      <c r="C23" s="196"/>
      <c r="D23" s="195"/>
      <c r="E23" s="186"/>
      <c r="F23" s="186"/>
      <c r="G23" s="155"/>
      <c r="H23" s="155"/>
    </row>
    <row r="24" spans="2:11" s="142" customFormat="1" ht="24.95" customHeight="1">
      <c r="B24" s="183" t="s">
        <v>13</v>
      </c>
      <c r="C24" s="196">
        <v>19</v>
      </c>
      <c r="D24" s="195">
        <f>'SALARIES (CASH)'!F105</f>
        <v>18450740807.59</v>
      </c>
      <c r="E24" s="186">
        <f>'SALARIES '!G102</f>
        <v>22914272547.310005</v>
      </c>
      <c r="F24" s="186">
        <f>20985197259.4-F25</f>
        <v>20172717614.91</v>
      </c>
      <c r="G24" s="198">
        <f>E24-D24</f>
        <v>4463531739.720005</v>
      </c>
      <c r="H24" s="198">
        <f>D24/E24%</f>
        <v>80.520735578647034</v>
      </c>
    </row>
    <row r="25" spans="2:11" s="142" customFormat="1" ht="24.95" customHeight="1">
      <c r="B25" s="183" t="s">
        <v>1434</v>
      </c>
      <c r="C25" s="196">
        <v>19</v>
      </c>
      <c r="D25" s="195">
        <f>'SALARIES (CASH)'!F112</f>
        <v>426511101.46999997</v>
      </c>
      <c r="E25" s="186">
        <f>'SALARIES '!G110</f>
        <v>812479644.49000001</v>
      </c>
      <c r="F25" s="186">
        <f>22303040.79+203744932.94+584431670.76+2000000</f>
        <v>812479644.49000001</v>
      </c>
      <c r="G25" s="198">
        <f t="shared" ref="G25:G33" si="2">E25-D25</f>
        <v>385968543.02000004</v>
      </c>
      <c r="H25" s="198">
        <f t="shared" ref="H25:H37" si="3">D25/E25%</f>
        <v>52.494989180648872</v>
      </c>
    </row>
    <row r="26" spans="2:11" s="503" customFormat="1" ht="24.95" customHeight="1">
      <c r="B26" s="183" t="s">
        <v>1997</v>
      </c>
      <c r="C26" s="196">
        <v>19</v>
      </c>
      <c r="D26" s="195">
        <f>'SALARIES (CASH)'!F118</f>
        <v>108000000</v>
      </c>
      <c r="E26" s="186">
        <f>'SALARIES (CASH)'!G118</f>
        <v>250000000</v>
      </c>
      <c r="F26" s="186">
        <f>100000000+100000000</f>
        <v>200000000</v>
      </c>
      <c r="G26" s="198">
        <f t="shared" si="2"/>
        <v>142000000</v>
      </c>
      <c r="H26" s="198">
        <f t="shared" si="3"/>
        <v>43.2</v>
      </c>
    </row>
    <row r="27" spans="2:11" s="142" customFormat="1" ht="24.95" customHeight="1">
      <c r="B27" s="183" t="s">
        <v>820</v>
      </c>
      <c r="C27" s="196">
        <v>20</v>
      </c>
      <c r="D27" s="195">
        <f>'SOCIAL BENIFITS (CASH)'!D12</f>
        <v>5271939900.0900002</v>
      </c>
      <c r="E27" s="186">
        <f>'SOCIAL BENIFITS'!E11</f>
        <v>6150048060.0900002</v>
      </c>
      <c r="F27" s="186">
        <f>3100000000+1000000000+50048060.09</f>
        <v>4150048060.0900002</v>
      </c>
      <c r="G27" s="198">
        <f t="shared" si="2"/>
        <v>878108160</v>
      </c>
      <c r="H27" s="198">
        <f t="shared" si="3"/>
        <v>85.721930114686785</v>
      </c>
    </row>
    <row r="28" spans="2:11" s="142" customFormat="1" ht="24.95" customHeight="1">
      <c r="B28" s="201" t="s">
        <v>14</v>
      </c>
      <c r="C28" s="185">
        <v>22</v>
      </c>
      <c r="D28" s="195">
        <f>'OVERHEAD (CASH)'!F208</f>
        <v>2615456299.7799997</v>
      </c>
      <c r="E28" s="186">
        <f>OVERHEAD!G207</f>
        <v>3608742881.9000006</v>
      </c>
      <c r="F28" s="186">
        <f>50000000+2994892881.73</f>
        <v>3044892881.73</v>
      </c>
      <c r="G28" s="198">
        <f t="shared" si="2"/>
        <v>993286582.12000084</v>
      </c>
      <c r="H28" s="198">
        <f t="shared" si="3"/>
        <v>72.475551331131797</v>
      </c>
    </row>
    <row r="29" spans="2:11" s="142" customFormat="1" ht="24.95" customHeight="1">
      <c r="B29" s="201" t="s">
        <v>42</v>
      </c>
      <c r="C29" s="196">
        <v>23</v>
      </c>
      <c r="D29" s="195">
        <f>'TOF (CASH)'!F73</f>
        <v>12356054098.719999</v>
      </c>
      <c r="E29" s="186">
        <v>12186459903.49</v>
      </c>
      <c r="F29" s="186">
        <v>10809337062.76</v>
      </c>
      <c r="G29" s="198">
        <f t="shared" si="2"/>
        <v>-169594195.22999954</v>
      </c>
      <c r="H29" s="198">
        <f t="shared" si="3"/>
        <v>101.39166088078976</v>
      </c>
    </row>
    <row r="30" spans="2:11" s="142" customFormat="1" ht="24.95" customHeight="1">
      <c r="B30" s="183" t="s">
        <v>2005</v>
      </c>
      <c r="C30" s="196">
        <v>24</v>
      </c>
      <c r="D30" s="195">
        <f>'SUBVENTION (CASH)'!F19</f>
        <v>14595378328.1</v>
      </c>
      <c r="E30" s="186">
        <f>SUBVENTION!G19</f>
        <v>16859086947.43</v>
      </c>
      <c r="F30" s="186">
        <f>4128010058.12+10829583372.93+362493516.38</f>
        <v>15320086947.429998</v>
      </c>
      <c r="G30" s="198">
        <f t="shared" si="2"/>
        <v>2263708619.3299999</v>
      </c>
      <c r="H30" s="198">
        <f t="shared" si="3"/>
        <v>86.572768582375218</v>
      </c>
    </row>
    <row r="31" spans="2:11" s="142" customFormat="1" ht="24.95" customHeight="1">
      <c r="B31" s="183" t="s">
        <v>1338</v>
      </c>
      <c r="C31" s="196">
        <v>7</v>
      </c>
      <c r="D31" s="195">
        <f>'OTHER REV.'!D21</f>
        <v>54468950</v>
      </c>
      <c r="E31" s="186">
        <v>0</v>
      </c>
      <c r="F31" s="186"/>
      <c r="G31" s="198">
        <f t="shared" si="2"/>
        <v>-54468950</v>
      </c>
      <c r="H31" s="198">
        <v>0</v>
      </c>
      <c r="K31" s="213">
        <f>D33+D29</f>
        <v>24322192475.330002</v>
      </c>
    </row>
    <row r="32" spans="2:11" s="142" customFormat="1" ht="24.95" customHeight="1">
      <c r="B32" s="183" t="s">
        <v>889</v>
      </c>
      <c r="C32" s="185">
        <v>9</v>
      </c>
      <c r="D32" s="195">
        <f>'OTHER REV.'!D40</f>
        <v>0</v>
      </c>
      <c r="E32" s="195">
        <v>0</v>
      </c>
      <c r="F32" s="195"/>
      <c r="G32" s="198">
        <f t="shared" si="2"/>
        <v>0</v>
      </c>
      <c r="H32" s="198">
        <v>0</v>
      </c>
    </row>
    <row r="33" spans="2:8" s="142" customFormat="1" ht="24.95" customHeight="1">
      <c r="B33" s="183" t="s">
        <v>906</v>
      </c>
      <c r="C33" s="196">
        <v>25</v>
      </c>
      <c r="D33" s="195">
        <f>'CAPITAL (CASH)'!F140</f>
        <v>11966138376.610001</v>
      </c>
      <c r="E33" s="186">
        <v>33734118870.41</v>
      </c>
      <c r="F33" s="186">
        <v>32079118870.41</v>
      </c>
      <c r="G33" s="198">
        <f t="shared" si="2"/>
        <v>21767980493.799999</v>
      </c>
      <c r="H33" s="198">
        <f t="shared" si="3"/>
        <v>35.471916200266136</v>
      </c>
    </row>
    <row r="34" spans="2:8" s="503" customFormat="1" ht="24.95" customHeight="1">
      <c r="B34" s="183" t="s">
        <v>19</v>
      </c>
      <c r="C34" s="196">
        <v>21</v>
      </c>
      <c r="D34" s="195">
        <f>'SOCIAL BENIFITS (CASH)'!D24</f>
        <v>5325311802.7600002</v>
      </c>
      <c r="E34" s="186"/>
      <c r="F34" s="186"/>
      <c r="G34" s="198">
        <v>0</v>
      </c>
      <c r="H34" s="198">
        <v>0</v>
      </c>
    </row>
    <row r="35" spans="2:8" s="142" customFormat="1" ht="24.95" customHeight="1">
      <c r="B35" s="183" t="s">
        <v>907</v>
      </c>
      <c r="C35" s="185">
        <v>28</v>
      </c>
      <c r="D35" s="195">
        <f>'F LOANS REPYT '!F38</f>
        <v>423196344.28000003</v>
      </c>
      <c r="E35" s="186">
        <f>'SOCIAL BENIFITS (CASH)'!E24</f>
        <v>12022863958.4</v>
      </c>
      <c r="F35" s="186">
        <f>550000000+11472863958.4</f>
        <v>12022863958.4</v>
      </c>
      <c r="G35" s="198">
        <f>E35-D34-D35-D36</f>
        <v>-590770342.11999989</v>
      </c>
      <c r="H35" s="198">
        <f>(D34+D35+D36)/E35%</f>
        <v>104.91372391939316</v>
      </c>
    </row>
    <row r="36" spans="2:8" s="142" customFormat="1" ht="24.95" customHeight="1">
      <c r="B36" s="183" t="s">
        <v>908</v>
      </c>
      <c r="C36" s="185">
        <v>29</v>
      </c>
      <c r="D36" s="195">
        <f>'D LOANS REPYT '!G19</f>
        <v>6865126153.4799995</v>
      </c>
      <c r="E36" s="186">
        <v>0</v>
      </c>
      <c r="F36" s="186"/>
      <c r="G36" s="198">
        <v>0</v>
      </c>
      <c r="H36" s="198">
        <v>0</v>
      </c>
    </row>
    <row r="37" spans="2:8" s="169" customFormat="1" ht="24.95" customHeight="1">
      <c r="B37" s="153" t="s">
        <v>60</v>
      </c>
      <c r="C37" s="154"/>
      <c r="D37" s="155">
        <f>SUM(D24:D36)</f>
        <v>78458322162.87999</v>
      </c>
      <c r="E37" s="155">
        <f>SUM(E24:E36)</f>
        <v>108538072813.52</v>
      </c>
      <c r="F37" s="155">
        <f>SUM(F24:F36)</f>
        <v>98611545040.220001</v>
      </c>
      <c r="G37" s="155">
        <f>SUM(G24:G36)</f>
        <v>30079750650.640007</v>
      </c>
      <c r="H37" s="155">
        <f t="shared" si="3"/>
        <v>72.286452236608042</v>
      </c>
    </row>
    <row r="38" spans="2:8" s="169" customFormat="1" ht="24.95" customHeight="1">
      <c r="B38" s="203" t="s">
        <v>61</v>
      </c>
      <c r="C38" s="154"/>
      <c r="D38" s="155">
        <f>D22-D37</f>
        <v>11951237961.910004</v>
      </c>
      <c r="E38" s="155">
        <f>E22-E37</f>
        <v>0</v>
      </c>
      <c r="F38" s="155">
        <f>F22-F37</f>
        <v>0</v>
      </c>
      <c r="G38" s="155">
        <f>G22-G37</f>
        <v>-12951237961.910011</v>
      </c>
      <c r="H38" s="155">
        <v>0</v>
      </c>
    </row>
    <row r="39" spans="2:8" s="142" customFormat="1">
      <c r="C39" s="191"/>
      <c r="D39" s="191"/>
      <c r="F39" s="509"/>
    </row>
    <row r="40" spans="2:8" s="142" customFormat="1">
      <c r="B40" s="590" t="s">
        <v>1410</v>
      </c>
      <c r="C40" s="590"/>
      <c r="D40" s="590"/>
      <c r="E40" s="590"/>
      <c r="F40" s="590"/>
      <c r="G40" s="590"/>
      <c r="H40" s="590"/>
    </row>
    <row r="41" spans="2:8" s="142" customFormat="1">
      <c r="C41" s="191"/>
      <c r="D41" s="191"/>
      <c r="F41" s="509"/>
    </row>
    <row r="42" spans="2:8" s="142" customFormat="1">
      <c r="C42" s="191"/>
      <c r="D42" s="191"/>
      <c r="F42" s="509"/>
    </row>
    <row r="43" spans="2:8" hidden="1">
      <c r="E43" s="65">
        <f>D30-5610758861.31</f>
        <v>8984619466.7900009</v>
      </c>
      <c r="F43" s="65"/>
    </row>
  </sheetData>
  <mergeCells count="4">
    <mergeCell ref="B1:H1"/>
    <mergeCell ref="B3:H3"/>
    <mergeCell ref="B2:H2"/>
    <mergeCell ref="B40:H40"/>
  </mergeCells>
  <pageMargins left="0.5" right="0.5" top="0.75" bottom="0.25" header="0.3" footer="0.5"/>
  <pageSetup paperSize="9" firstPageNumber="80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9"/>
  <sheetViews>
    <sheetView topLeftCell="A4" workbookViewId="0">
      <selection activeCell="B4" sqref="B4:H4"/>
    </sheetView>
  </sheetViews>
  <sheetFormatPr defaultRowHeight="15"/>
  <cols>
    <col min="1" max="1" width="2.85546875" customWidth="1"/>
    <col min="2" max="2" width="19.7109375" customWidth="1"/>
    <col min="3" max="3" width="17.85546875" customWidth="1"/>
    <col min="4" max="5" width="18.7109375" style="1" customWidth="1"/>
    <col min="6" max="6" width="17.5703125" customWidth="1"/>
    <col min="7" max="8" width="18.7109375" customWidth="1"/>
  </cols>
  <sheetData>
    <row r="1" spans="2:8" ht="21.95" hidden="1" customHeight="1">
      <c r="B1" s="591" t="s">
        <v>0</v>
      </c>
      <c r="C1" s="591"/>
      <c r="D1" s="591"/>
      <c r="E1" s="591"/>
      <c r="F1" s="591"/>
      <c r="G1" s="591"/>
      <c r="H1" s="591"/>
    </row>
    <row r="2" spans="2:8" ht="21.95" hidden="1" customHeight="1">
      <c r="B2" s="592" t="s">
        <v>1568</v>
      </c>
      <c r="C2" s="592"/>
      <c r="D2" s="592"/>
      <c r="E2" s="592"/>
      <c r="F2" s="592"/>
      <c r="G2" s="592"/>
      <c r="H2" s="592"/>
    </row>
    <row r="3" spans="2:8" s="99" customFormat="1" ht="21.95" hidden="1" customHeight="1">
      <c r="B3" s="592" t="s">
        <v>336</v>
      </c>
      <c r="C3" s="592"/>
      <c r="D3" s="592"/>
      <c r="E3" s="592"/>
      <c r="F3" s="592"/>
      <c r="G3" s="592"/>
      <c r="H3" s="592"/>
    </row>
    <row r="4" spans="2:8" ht="21.95" customHeight="1">
      <c r="B4" s="591" t="s">
        <v>807</v>
      </c>
      <c r="C4" s="591"/>
      <c r="D4" s="591"/>
      <c r="E4" s="591"/>
      <c r="F4" s="591"/>
      <c r="G4" s="591"/>
      <c r="H4" s="591"/>
    </row>
    <row r="5" spans="2:8" ht="12.75" customHeight="1" thickBot="1">
      <c r="B5" s="6"/>
      <c r="C5" s="6"/>
    </row>
    <row r="6" spans="2:8" s="142" customFormat="1" ht="23.25" customHeight="1">
      <c r="B6" s="214" t="s">
        <v>62</v>
      </c>
      <c r="C6" s="593">
        <v>2018</v>
      </c>
      <c r="D6" s="594"/>
      <c r="E6" s="595"/>
      <c r="F6" s="593">
        <v>2017</v>
      </c>
      <c r="G6" s="594"/>
      <c r="H6" s="595"/>
    </row>
    <row r="7" spans="2:8" s="191" customFormat="1" ht="35.1" customHeight="1">
      <c r="B7" s="215"/>
      <c r="C7" s="216" t="s">
        <v>63</v>
      </c>
      <c r="D7" s="217" t="s">
        <v>64</v>
      </c>
      <c r="E7" s="218" t="s">
        <v>65</v>
      </c>
      <c r="F7" s="216" t="s">
        <v>63</v>
      </c>
      <c r="G7" s="217" t="s">
        <v>64</v>
      </c>
      <c r="H7" s="218" t="s">
        <v>65</v>
      </c>
    </row>
    <row r="8" spans="2:8" s="142" customFormat="1" ht="23.1" customHeight="1">
      <c r="B8" s="219"/>
      <c r="C8" s="220" t="s">
        <v>1458</v>
      </c>
      <c r="D8" s="182" t="s">
        <v>1458</v>
      </c>
      <c r="E8" s="221" t="s">
        <v>1458</v>
      </c>
      <c r="F8" s="222" t="s">
        <v>1458</v>
      </c>
      <c r="G8" s="182" t="s">
        <v>1458</v>
      </c>
      <c r="H8" s="221" t="s">
        <v>1458</v>
      </c>
    </row>
    <row r="9" spans="2:8" s="142" customFormat="1" ht="24.95" customHeight="1">
      <c r="B9" s="223" t="s">
        <v>66</v>
      </c>
      <c r="C9" s="124">
        <v>2038318678.8</v>
      </c>
      <c r="D9" s="13">
        <v>969795217.11000001</v>
      </c>
      <c r="E9" s="224">
        <f>D9+C9</f>
        <v>3008113895.9099998</v>
      </c>
      <c r="F9" s="13">
        <v>280973347.42000002</v>
      </c>
      <c r="G9" s="13">
        <v>983898524.40999997</v>
      </c>
      <c r="H9" s="225">
        <f>G9+F9</f>
        <v>1264871871.8299999</v>
      </c>
    </row>
    <row r="10" spans="2:8" s="142" customFormat="1" ht="24.95" customHeight="1">
      <c r="B10" s="223" t="s">
        <v>67</v>
      </c>
      <c r="C10" s="124">
        <v>1966809002.78</v>
      </c>
      <c r="D10" s="13">
        <v>1015534534.02</v>
      </c>
      <c r="E10" s="224">
        <f t="shared" ref="E10:E20" si="0">D10+C10</f>
        <v>2982343536.8000002</v>
      </c>
      <c r="F10" s="13">
        <v>535193414.14999998</v>
      </c>
      <c r="G10" s="13">
        <v>1057738417.6</v>
      </c>
      <c r="H10" s="225">
        <f t="shared" ref="H10:H20" si="1">G10+F10</f>
        <v>1592931831.75</v>
      </c>
    </row>
    <row r="11" spans="2:8" s="142" customFormat="1" ht="24.95" customHeight="1">
      <c r="B11" s="223" t="s">
        <v>68</v>
      </c>
      <c r="C11" s="124">
        <v>2106157181.1099999</v>
      </c>
      <c r="D11" s="13">
        <v>974444490.48000002</v>
      </c>
      <c r="E11" s="224">
        <f t="shared" si="0"/>
        <v>3080601671.5900002</v>
      </c>
      <c r="F11" s="13">
        <v>389613321.63</v>
      </c>
      <c r="G11" s="13">
        <v>1016625917.6</v>
      </c>
      <c r="H11" s="225">
        <f t="shared" si="1"/>
        <v>1406239239.23</v>
      </c>
    </row>
    <row r="12" spans="2:8" s="142" customFormat="1" ht="24.95" customHeight="1">
      <c r="B12" s="223" t="s">
        <v>69</v>
      </c>
      <c r="C12" s="124">
        <v>1685294674.25</v>
      </c>
      <c r="D12" s="13">
        <v>974444490.48000002</v>
      </c>
      <c r="E12" s="224">
        <f t="shared" si="0"/>
        <v>2659739164.73</v>
      </c>
      <c r="F12" s="13">
        <v>615958550.73000002</v>
      </c>
      <c r="G12" s="13">
        <v>1016625917.6</v>
      </c>
      <c r="H12" s="225">
        <f t="shared" si="1"/>
        <v>1632584468.3299999</v>
      </c>
    </row>
    <row r="13" spans="2:8" s="142" customFormat="1" ht="24.95" customHeight="1">
      <c r="B13" s="223" t="s">
        <v>70</v>
      </c>
      <c r="C13" s="124">
        <v>2289077289.77</v>
      </c>
      <c r="D13" s="13">
        <v>1015556990.48</v>
      </c>
      <c r="E13" s="224">
        <f t="shared" si="0"/>
        <v>3304634280.25</v>
      </c>
      <c r="F13" s="13">
        <v>430566186.01999998</v>
      </c>
      <c r="G13" s="13">
        <v>1057738417.6</v>
      </c>
      <c r="H13" s="225">
        <f t="shared" si="1"/>
        <v>1488304603.6199999</v>
      </c>
    </row>
    <row r="14" spans="2:8" s="142" customFormat="1" ht="24.95" customHeight="1">
      <c r="B14" s="223" t="s">
        <v>71</v>
      </c>
      <c r="C14" s="124">
        <v>2239962571.0599999</v>
      </c>
      <c r="D14" s="13">
        <v>974444490.48000002</v>
      </c>
      <c r="E14" s="224">
        <f t="shared" si="0"/>
        <v>3214407061.54</v>
      </c>
      <c r="F14" s="13">
        <v>749610339.38999999</v>
      </c>
      <c r="G14" s="13">
        <v>1016625917.6</v>
      </c>
      <c r="H14" s="225">
        <f t="shared" si="1"/>
        <v>1766236256.99</v>
      </c>
    </row>
    <row r="15" spans="2:8" s="142" customFormat="1" ht="24.95" customHeight="1">
      <c r="B15" s="223" t="s">
        <v>1572</v>
      </c>
      <c r="C15" s="124">
        <v>2370489230.6300001</v>
      </c>
      <c r="D15" s="13">
        <v>974444490.48000002</v>
      </c>
      <c r="E15" s="224">
        <f t="shared" si="0"/>
        <v>3344933721.1100001</v>
      </c>
      <c r="F15" s="13">
        <v>2271010249.6300001</v>
      </c>
      <c r="G15" s="13">
        <v>1016625917.6</v>
      </c>
      <c r="H15" s="225">
        <f t="shared" si="1"/>
        <v>3287636167.23</v>
      </c>
    </row>
    <row r="16" spans="2:8" s="142" customFormat="1" ht="24.95" customHeight="1">
      <c r="B16" s="223" t="s">
        <v>1573</v>
      </c>
      <c r="C16" s="124">
        <v>2208200221.6399999</v>
      </c>
      <c r="D16" s="13">
        <v>1018816391.9400001</v>
      </c>
      <c r="E16" s="224">
        <f t="shared" si="0"/>
        <v>3227016613.5799999</v>
      </c>
      <c r="F16" s="13">
        <v>1147088868.3800001</v>
      </c>
      <c r="G16" s="13">
        <v>1023017867.53</v>
      </c>
      <c r="H16" s="225">
        <f t="shared" si="1"/>
        <v>2170106735.9099998</v>
      </c>
    </row>
    <row r="17" spans="2:8" s="142" customFormat="1" ht="24.95" customHeight="1">
      <c r="B17" s="223" t="s">
        <v>1574</v>
      </c>
      <c r="C17" s="124">
        <v>2309886189.1399999</v>
      </c>
      <c r="D17" s="13">
        <v>977703891.94000006</v>
      </c>
      <c r="E17" s="224">
        <f t="shared" si="0"/>
        <v>3287590081.0799999</v>
      </c>
      <c r="F17" s="13">
        <v>2134895217.27</v>
      </c>
      <c r="G17" s="13">
        <v>981905367.52999997</v>
      </c>
      <c r="H17" s="225">
        <f t="shared" si="1"/>
        <v>3116800584.8000002</v>
      </c>
    </row>
    <row r="18" spans="2:8" s="142" customFormat="1" ht="24.95" customHeight="1">
      <c r="B18" s="223" t="s">
        <v>1575</v>
      </c>
      <c r="C18" s="124">
        <v>2569104304.5500002</v>
      </c>
      <c r="D18" s="13">
        <v>580507083.51999998</v>
      </c>
      <c r="E18" s="224">
        <f t="shared" si="0"/>
        <v>3149611388.0700002</v>
      </c>
      <c r="F18" s="13">
        <v>1398868719.47</v>
      </c>
      <c r="G18" s="13">
        <v>969795217.11000001</v>
      </c>
      <c r="H18" s="225">
        <f t="shared" si="1"/>
        <v>2368663936.5799999</v>
      </c>
    </row>
    <row r="19" spans="2:8" s="142" customFormat="1" ht="24.95" customHeight="1">
      <c r="B19" s="223" t="s">
        <v>1576</v>
      </c>
      <c r="C19" s="124">
        <v>2779669648.6100001</v>
      </c>
      <c r="D19" s="13">
        <v>621619583.94000006</v>
      </c>
      <c r="E19" s="224">
        <f t="shared" si="0"/>
        <v>3401289232.5500002</v>
      </c>
      <c r="F19" s="13">
        <v>1278821491.46</v>
      </c>
      <c r="G19" s="13">
        <v>1010907717.11</v>
      </c>
      <c r="H19" s="225">
        <f t="shared" si="1"/>
        <v>2289729208.5700002</v>
      </c>
    </row>
    <row r="20" spans="2:8" s="142" customFormat="1" ht="24.95" customHeight="1">
      <c r="B20" s="223" t="s">
        <v>1577</v>
      </c>
      <c r="C20" s="124">
        <v>2779120929.96</v>
      </c>
      <c r="D20" s="13">
        <v>580507083.51999998</v>
      </c>
      <c r="E20" s="224">
        <f t="shared" si="0"/>
        <v>3359628013.48</v>
      </c>
      <c r="F20" s="13">
        <v>1998926326.1099999</v>
      </c>
      <c r="G20" s="13">
        <v>969795217.11000001</v>
      </c>
      <c r="H20" s="225">
        <f t="shared" si="1"/>
        <v>2968721543.2199998</v>
      </c>
    </row>
    <row r="21" spans="2:8" s="142" customFormat="1" ht="24.95" customHeight="1" thickBot="1">
      <c r="B21" s="226" t="s">
        <v>65</v>
      </c>
      <c r="C21" s="227">
        <f t="shared" ref="C21:H21" si="2">SUM(C9:C20)</f>
        <v>27342089922.299995</v>
      </c>
      <c r="D21" s="228">
        <f t="shared" si="2"/>
        <v>10677818738.390001</v>
      </c>
      <c r="E21" s="229">
        <f t="shared" si="2"/>
        <v>38019908660.69001</v>
      </c>
      <c r="F21" s="227">
        <f t="shared" si="2"/>
        <v>13231526031.66</v>
      </c>
      <c r="G21" s="228">
        <f t="shared" si="2"/>
        <v>12121300416.400003</v>
      </c>
      <c r="H21" s="229">
        <f t="shared" si="2"/>
        <v>25352826448.059998</v>
      </c>
    </row>
    <row r="22" spans="2:8" s="204" customFormat="1" ht="20.100000000000001" customHeight="1">
      <c r="D22" s="230"/>
      <c r="E22" s="205"/>
    </row>
    <row r="23" spans="2:8" s="4" customFormat="1" ht="20.100000000000001" customHeight="1">
      <c r="B23" s="8"/>
      <c r="C23" s="8"/>
      <c r="D23" s="123"/>
      <c r="E23" s="5"/>
    </row>
    <row r="24" spans="2:8" s="4" customFormat="1" ht="20.100000000000001" customHeight="1">
      <c r="D24" s="7"/>
      <c r="E24" s="5"/>
    </row>
    <row r="25" spans="2:8" s="4" customFormat="1" ht="20.100000000000001" customHeight="1">
      <c r="B25" s="8"/>
      <c r="C25" s="8"/>
      <c r="D25" s="7"/>
      <c r="E25" s="5"/>
    </row>
    <row r="26" spans="2:8" s="4" customFormat="1" ht="20.100000000000001" customHeight="1">
      <c r="D26" s="7"/>
      <c r="E26" s="5"/>
    </row>
    <row r="27" spans="2:8" s="4" customFormat="1" ht="20.100000000000001" customHeight="1">
      <c r="D27" s="5"/>
      <c r="E27" s="5"/>
    </row>
    <row r="28" spans="2:8" s="4" customFormat="1" ht="20.100000000000001" customHeight="1">
      <c r="B28" s="9"/>
      <c r="C28" s="9"/>
      <c r="D28" s="5"/>
      <c r="E28" s="5"/>
    </row>
    <row r="29" spans="2:8" s="4" customFormat="1" ht="20.100000000000001" customHeight="1">
      <c r="D29" s="5"/>
      <c r="E29" s="5"/>
    </row>
    <row r="30" spans="2:8" s="4" customFormat="1" ht="20.100000000000001" customHeight="1">
      <c r="B30" s="10"/>
      <c r="C30" s="10"/>
      <c r="D30" s="5"/>
      <c r="E30" s="5"/>
    </row>
    <row r="31" spans="2:8" s="4" customFormat="1" ht="20.100000000000001" customHeight="1">
      <c r="D31" s="7"/>
      <c r="E31" s="5"/>
    </row>
    <row r="32" spans="2:8" s="4" customFormat="1" ht="20.100000000000001" customHeight="1">
      <c r="D32" s="5"/>
      <c r="E32" s="5"/>
    </row>
    <row r="33" spans="2:5" s="4" customFormat="1" ht="20.100000000000001" customHeight="1">
      <c r="D33" s="7"/>
      <c r="E33" s="5"/>
    </row>
    <row r="34" spans="2:5" s="4" customFormat="1" ht="20.100000000000001" customHeight="1">
      <c r="B34" s="9"/>
      <c r="C34" s="9"/>
      <c r="D34" s="5"/>
      <c r="E34" s="5"/>
    </row>
    <row r="35" spans="2:5" s="4" customFormat="1" ht="20.100000000000001" customHeight="1">
      <c r="B35" s="9"/>
      <c r="C35" s="9"/>
      <c r="D35" s="7"/>
      <c r="E35" s="5"/>
    </row>
    <row r="36" spans="2:5" s="4" customFormat="1" ht="20.100000000000001" customHeight="1">
      <c r="B36" s="9"/>
      <c r="C36" s="9"/>
      <c r="D36" s="7"/>
      <c r="E36" s="5"/>
    </row>
    <row r="37" spans="2:5" s="4" customFormat="1" ht="20.100000000000001" customHeight="1">
      <c r="D37" s="11"/>
      <c r="E37" s="5"/>
    </row>
    <row r="38" spans="2:5" s="4" customFormat="1" ht="20.100000000000001" customHeight="1">
      <c r="D38" s="5"/>
      <c r="E38" s="5"/>
    </row>
    <row r="39" spans="2:5" s="4" customFormat="1" ht="20.100000000000001" customHeight="1">
      <c r="D39" s="11"/>
      <c r="E39" s="5"/>
    </row>
  </sheetData>
  <mergeCells count="6">
    <mergeCell ref="B1:H1"/>
    <mergeCell ref="B2:H2"/>
    <mergeCell ref="C6:E6"/>
    <mergeCell ref="F6:H6"/>
    <mergeCell ref="B3:H3"/>
    <mergeCell ref="B4:H4"/>
  </mergeCells>
  <pageMargins left="0.5" right="0.5" top="0.75" bottom="0.25" header="0.3" footer="0.5"/>
  <pageSetup paperSize="9" firstPageNumber="82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9"/>
  <sheetViews>
    <sheetView topLeftCell="A4" workbookViewId="0">
      <selection activeCell="D12" sqref="D12"/>
    </sheetView>
  </sheetViews>
  <sheetFormatPr defaultRowHeight="15"/>
  <cols>
    <col min="1" max="1" width="5.5703125" style="99" customWidth="1"/>
    <col min="2" max="2" width="14" style="99" customWidth="1"/>
    <col min="3" max="3" width="17.5703125" style="99" customWidth="1"/>
    <col min="4" max="8" width="17.5703125" style="98" customWidth="1"/>
    <col min="9" max="16384" width="9.140625" style="99"/>
  </cols>
  <sheetData>
    <row r="1" spans="2:8" ht="21.95" hidden="1" customHeight="1">
      <c r="B1" s="591" t="s">
        <v>0</v>
      </c>
      <c r="C1" s="591"/>
      <c r="D1" s="591"/>
      <c r="E1" s="591"/>
      <c r="F1" s="591"/>
      <c r="G1" s="591"/>
      <c r="H1" s="591"/>
    </row>
    <row r="2" spans="2:8" ht="21.95" hidden="1" customHeight="1">
      <c r="B2" s="592" t="s">
        <v>1569</v>
      </c>
      <c r="C2" s="592"/>
      <c r="D2" s="592"/>
      <c r="E2" s="592"/>
      <c r="F2" s="592"/>
      <c r="G2" s="592"/>
      <c r="H2" s="592"/>
    </row>
    <row r="3" spans="2:8" ht="21.95" hidden="1" customHeight="1">
      <c r="B3" s="592" t="s">
        <v>336</v>
      </c>
      <c r="C3" s="592"/>
      <c r="D3" s="592"/>
      <c r="E3" s="592"/>
      <c r="F3" s="592"/>
      <c r="G3" s="592"/>
      <c r="H3" s="592"/>
    </row>
    <row r="4" spans="2:8" ht="21.95" customHeight="1">
      <c r="B4" s="591" t="s">
        <v>1529</v>
      </c>
      <c r="C4" s="591"/>
      <c r="D4" s="591"/>
      <c r="E4" s="591"/>
      <c r="F4" s="591"/>
      <c r="G4" s="591"/>
      <c r="H4" s="591"/>
    </row>
    <row r="5" spans="2:8" ht="12.75" customHeight="1" thickBot="1">
      <c r="B5" s="100"/>
      <c r="C5" s="100"/>
    </row>
    <row r="6" spans="2:8" s="142" customFormat="1" ht="24.75" customHeight="1">
      <c r="B6" s="231" t="s">
        <v>62</v>
      </c>
      <c r="C6" s="596">
        <v>2018</v>
      </c>
      <c r="D6" s="597"/>
      <c r="E6" s="598"/>
      <c r="F6" s="596">
        <v>2017</v>
      </c>
      <c r="G6" s="597"/>
      <c r="H6" s="598"/>
    </row>
    <row r="7" spans="2:8" s="142" customFormat="1" ht="35.1" customHeight="1">
      <c r="B7" s="232"/>
      <c r="C7" s="233" t="s">
        <v>63</v>
      </c>
      <c r="D7" s="179" t="s">
        <v>64</v>
      </c>
      <c r="E7" s="234" t="s">
        <v>65</v>
      </c>
      <c r="F7" s="233" t="s">
        <v>63</v>
      </c>
      <c r="G7" s="179" t="s">
        <v>64</v>
      </c>
      <c r="H7" s="234" t="s">
        <v>65</v>
      </c>
    </row>
    <row r="8" spans="2:8" s="142" customFormat="1" ht="24.95" customHeight="1">
      <c r="B8" s="232"/>
      <c r="C8" s="220" t="s">
        <v>1458</v>
      </c>
      <c r="D8" s="182" t="s">
        <v>1458</v>
      </c>
      <c r="E8" s="221" t="s">
        <v>1458</v>
      </c>
      <c r="F8" s="222" t="s">
        <v>1458</v>
      </c>
      <c r="G8" s="182" t="s">
        <v>1458</v>
      </c>
      <c r="H8" s="221" t="s">
        <v>1458</v>
      </c>
    </row>
    <row r="9" spans="2:8" s="142" customFormat="1" ht="24.95" customHeight="1">
      <c r="B9" s="235" t="s">
        <v>66</v>
      </c>
      <c r="C9" s="124">
        <v>780612659.12</v>
      </c>
      <c r="D9" s="13">
        <v>0</v>
      </c>
      <c r="E9" s="125">
        <f>D9+C9</f>
        <v>780612659.12</v>
      </c>
      <c r="F9" s="22">
        <v>735176018.02999997</v>
      </c>
      <c r="G9" s="13">
        <v>0</v>
      </c>
      <c r="H9" s="125">
        <f>F9+G9</f>
        <v>735176018.02999997</v>
      </c>
    </row>
    <row r="10" spans="2:8" s="142" customFormat="1" ht="24.95" customHeight="1">
      <c r="B10" s="235" t="s">
        <v>67</v>
      </c>
      <c r="C10" s="124">
        <v>895736065.13999999</v>
      </c>
      <c r="D10" s="13">
        <v>0</v>
      </c>
      <c r="E10" s="125">
        <f t="shared" ref="E10:E20" si="0">D10+C10</f>
        <v>895736065.13999999</v>
      </c>
      <c r="F10" s="22">
        <v>676530618.80999994</v>
      </c>
      <c r="G10" s="13">
        <v>0</v>
      </c>
      <c r="H10" s="125">
        <f t="shared" ref="H10:H20" si="1">F10+G10</f>
        <v>676530618.80999994</v>
      </c>
    </row>
    <row r="11" spans="2:8" s="142" customFormat="1" ht="24.95" customHeight="1">
      <c r="B11" s="235" t="s">
        <v>68</v>
      </c>
      <c r="C11" s="124">
        <v>836737857.63999999</v>
      </c>
      <c r="D11" s="13">
        <v>0</v>
      </c>
      <c r="E11" s="125">
        <f t="shared" si="0"/>
        <v>836737857.63999999</v>
      </c>
      <c r="F11" s="22">
        <v>659226431.11000001</v>
      </c>
      <c r="G11" s="13">
        <v>0</v>
      </c>
      <c r="H11" s="125">
        <f t="shared" si="1"/>
        <v>659226431.11000001</v>
      </c>
    </row>
    <row r="12" spans="2:8" s="142" customFormat="1" ht="24.95" customHeight="1">
      <c r="B12" s="235" t="s">
        <v>69</v>
      </c>
      <c r="C12" s="124">
        <v>779829230.07000005</v>
      </c>
      <c r="D12" s="13">
        <v>0</v>
      </c>
      <c r="E12" s="125">
        <f t="shared" si="0"/>
        <v>779829230.07000005</v>
      </c>
      <c r="F12" s="22">
        <v>739095715.54999995</v>
      </c>
      <c r="G12" s="13">
        <v>0</v>
      </c>
      <c r="H12" s="125">
        <f t="shared" si="1"/>
        <v>739095715.54999995</v>
      </c>
    </row>
    <row r="13" spans="2:8" s="142" customFormat="1" ht="24.95" customHeight="1">
      <c r="B13" s="235" t="s">
        <v>70</v>
      </c>
      <c r="C13" s="124">
        <v>808362251.09000003</v>
      </c>
      <c r="D13" s="13">
        <v>0</v>
      </c>
      <c r="E13" s="125">
        <f t="shared" si="0"/>
        <v>808362251.09000003</v>
      </c>
      <c r="F13" s="22">
        <v>791134091.35000002</v>
      </c>
      <c r="G13" s="13">
        <v>0</v>
      </c>
      <c r="H13" s="125">
        <f t="shared" si="1"/>
        <v>791134091.35000002</v>
      </c>
    </row>
    <row r="14" spans="2:8" s="142" customFormat="1" ht="24.95" customHeight="1">
      <c r="B14" s="235" t="s">
        <v>71</v>
      </c>
      <c r="C14" s="124">
        <v>895997734.03999996</v>
      </c>
      <c r="D14" s="13">
        <v>0</v>
      </c>
      <c r="E14" s="125">
        <f t="shared" si="0"/>
        <v>895997734.03999996</v>
      </c>
      <c r="F14" s="22">
        <v>745893552.08000004</v>
      </c>
      <c r="G14" s="13">
        <v>0</v>
      </c>
      <c r="H14" s="125">
        <f t="shared" si="1"/>
        <v>745893552.08000004</v>
      </c>
    </row>
    <row r="15" spans="2:8" s="142" customFormat="1" ht="24.95" customHeight="1">
      <c r="B15" s="235" t="s">
        <v>1572</v>
      </c>
      <c r="C15" s="124">
        <v>818538881.08000004</v>
      </c>
      <c r="D15" s="13">
        <v>0</v>
      </c>
      <c r="E15" s="125">
        <f t="shared" si="0"/>
        <v>818538881.08000004</v>
      </c>
      <c r="F15" s="22">
        <v>774962894.23000002</v>
      </c>
      <c r="G15" s="13">
        <v>0</v>
      </c>
      <c r="H15" s="125">
        <f t="shared" si="1"/>
        <v>774962894.23000002</v>
      </c>
    </row>
    <row r="16" spans="2:8" s="142" customFormat="1" ht="24.95" customHeight="1">
      <c r="B16" s="235" t="s">
        <v>1573</v>
      </c>
      <c r="C16" s="124">
        <v>744109070.30999994</v>
      </c>
      <c r="D16" s="13">
        <v>0</v>
      </c>
      <c r="E16" s="125">
        <f t="shared" si="0"/>
        <v>744109070.30999994</v>
      </c>
      <c r="F16" s="22">
        <v>757897032.25</v>
      </c>
      <c r="G16" s="13">
        <v>0</v>
      </c>
      <c r="H16" s="125">
        <f t="shared" si="1"/>
        <v>757897032.25</v>
      </c>
    </row>
    <row r="17" spans="2:8" s="142" customFormat="1" ht="24.95" customHeight="1">
      <c r="B17" s="235" t="s">
        <v>1574</v>
      </c>
      <c r="C17" s="124">
        <v>1084058311.4100001</v>
      </c>
      <c r="D17" s="13">
        <v>0</v>
      </c>
      <c r="E17" s="125">
        <f t="shared" si="0"/>
        <v>1084058311.4100001</v>
      </c>
      <c r="F17" s="22">
        <v>811476185.66999996</v>
      </c>
      <c r="G17" s="13">
        <v>0</v>
      </c>
      <c r="H17" s="125">
        <f t="shared" si="1"/>
        <v>811476185.66999996</v>
      </c>
    </row>
    <row r="18" spans="2:8" s="142" customFormat="1" ht="24.95" customHeight="1">
      <c r="B18" s="235" t="s">
        <v>1575</v>
      </c>
      <c r="C18" s="124">
        <v>751795229.83000004</v>
      </c>
      <c r="D18" s="13">
        <v>0</v>
      </c>
      <c r="E18" s="125">
        <f t="shared" si="0"/>
        <v>751795229.83000004</v>
      </c>
      <c r="F18" s="22">
        <v>767824981.74000001</v>
      </c>
      <c r="G18" s="13">
        <v>0</v>
      </c>
      <c r="H18" s="125">
        <f t="shared" si="1"/>
        <v>767824981.74000001</v>
      </c>
    </row>
    <row r="19" spans="2:8" s="142" customFormat="1" ht="24.95" customHeight="1">
      <c r="B19" s="235" t="s">
        <v>1576</v>
      </c>
      <c r="C19" s="124">
        <v>974942623.58000004</v>
      </c>
      <c r="D19" s="13">
        <v>0</v>
      </c>
      <c r="E19" s="125">
        <f t="shared" si="0"/>
        <v>974942623.58000004</v>
      </c>
      <c r="F19" s="22">
        <v>840006740.54999995</v>
      </c>
      <c r="G19" s="13">
        <v>0</v>
      </c>
      <c r="H19" s="125">
        <f t="shared" si="1"/>
        <v>840006740.54999995</v>
      </c>
    </row>
    <row r="20" spans="2:8" s="142" customFormat="1" ht="24.95" customHeight="1">
      <c r="B20" s="235" t="s">
        <v>1577</v>
      </c>
      <c r="C20" s="124">
        <v>843905013.13</v>
      </c>
      <c r="D20" s="13">
        <v>0</v>
      </c>
      <c r="E20" s="125">
        <f t="shared" si="0"/>
        <v>843905013.13</v>
      </c>
      <c r="F20" s="22">
        <v>759862014.26999998</v>
      </c>
      <c r="G20" s="13">
        <v>0</v>
      </c>
      <c r="H20" s="125">
        <f t="shared" si="1"/>
        <v>759862014.26999998</v>
      </c>
    </row>
    <row r="21" spans="2:8" s="171" customFormat="1" ht="24.95" customHeight="1" thickBot="1">
      <c r="B21" s="236" t="s">
        <v>65</v>
      </c>
      <c r="C21" s="227">
        <f t="shared" ref="C21:H21" si="2">SUM(C9:C20)</f>
        <v>10214624926.439999</v>
      </c>
      <c r="D21" s="228">
        <f t="shared" si="2"/>
        <v>0</v>
      </c>
      <c r="E21" s="229">
        <f t="shared" si="2"/>
        <v>10214624926.439999</v>
      </c>
      <c r="F21" s="227">
        <f t="shared" si="2"/>
        <v>9059086275.6399994</v>
      </c>
      <c r="G21" s="228">
        <f t="shared" si="2"/>
        <v>0</v>
      </c>
      <c r="H21" s="229">
        <f t="shared" si="2"/>
        <v>9059086275.6399994</v>
      </c>
    </row>
    <row r="22" spans="2:8" s="204" customFormat="1" ht="20.100000000000001" customHeight="1">
      <c r="D22" s="230"/>
      <c r="E22" s="230"/>
      <c r="F22" s="230"/>
      <c r="G22" s="205"/>
      <c r="H22" s="205"/>
    </row>
    <row r="23" spans="2:8" s="204" customFormat="1" ht="20.100000000000001" customHeight="1">
      <c r="B23" s="237"/>
      <c r="C23" s="237"/>
      <c r="D23" s="230"/>
      <c r="E23" s="230"/>
      <c r="F23" s="230"/>
      <c r="G23" s="205"/>
      <c r="H23" s="205"/>
    </row>
    <row r="24" spans="2:8" s="204" customFormat="1" ht="20.100000000000001" customHeight="1">
      <c r="D24" s="230"/>
      <c r="E24" s="230"/>
      <c r="F24" s="230"/>
      <c r="G24" s="205"/>
      <c r="H24" s="205"/>
    </row>
    <row r="25" spans="2:8" s="4" customFormat="1" ht="20.100000000000001" customHeight="1">
      <c r="B25" s="8"/>
      <c r="C25" s="8"/>
      <c r="D25" s="7"/>
      <c r="E25" s="7"/>
      <c r="F25" s="7"/>
      <c r="G25" s="5"/>
      <c r="H25" s="5"/>
    </row>
    <row r="26" spans="2:8" s="4" customFormat="1" ht="20.100000000000001" customHeight="1">
      <c r="D26" s="7"/>
      <c r="E26" s="7"/>
      <c r="F26" s="7"/>
      <c r="G26" s="5"/>
      <c r="H26" s="5"/>
    </row>
    <row r="27" spans="2:8" s="4" customFormat="1" ht="20.100000000000001" customHeight="1">
      <c r="D27" s="5"/>
      <c r="E27" s="5"/>
      <c r="F27" s="5"/>
      <c r="G27" s="5"/>
      <c r="H27" s="5"/>
    </row>
    <row r="28" spans="2:8" s="4" customFormat="1" ht="20.100000000000001" customHeight="1">
      <c r="B28" s="9"/>
      <c r="C28" s="9"/>
      <c r="D28" s="5"/>
      <c r="E28" s="5"/>
      <c r="F28" s="5"/>
      <c r="G28" s="5"/>
      <c r="H28" s="5"/>
    </row>
    <row r="29" spans="2:8" s="4" customFormat="1" ht="20.100000000000001" customHeight="1">
      <c r="D29" s="5"/>
      <c r="E29" s="5"/>
      <c r="F29" s="5"/>
      <c r="G29" s="5"/>
      <c r="H29" s="5"/>
    </row>
    <row r="30" spans="2:8" s="4" customFormat="1" ht="20.100000000000001" customHeight="1">
      <c r="B30" s="10"/>
      <c r="C30" s="10"/>
      <c r="D30" s="5"/>
      <c r="E30" s="5"/>
      <c r="F30" s="5"/>
      <c r="G30" s="5"/>
      <c r="H30" s="5"/>
    </row>
    <row r="31" spans="2:8" s="4" customFormat="1" ht="20.100000000000001" customHeight="1">
      <c r="D31" s="7"/>
      <c r="E31" s="7"/>
      <c r="F31" s="7"/>
      <c r="G31" s="5"/>
      <c r="H31" s="5"/>
    </row>
    <row r="32" spans="2:8" s="4" customFormat="1" ht="20.100000000000001" customHeight="1">
      <c r="D32" s="5"/>
      <c r="E32" s="5"/>
      <c r="F32" s="5"/>
      <c r="G32" s="5"/>
      <c r="H32" s="5"/>
    </row>
    <row r="33" spans="2:8" s="4" customFormat="1" ht="20.100000000000001" customHeight="1">
      <c r="D33" s="7"/>
      <c r="E33" s="7"/>
      <c r="F33" s="7"/>
      <c r="G33" s="5"/>
      <c r="H33" s="5"/>
    </row>
    <row r="34" spans="2:8" s="4" customFormat="1" ht="20.100000000000001" customHeight="1">
      <c r="B34" s="9"/>
      <c r="C34" s="9"/>
      <c r="D34" s="5"/>
      <c r="E34" s="5"/>
      <c r="F34" s="5"/>
      <c r="G34" s="5"/>
      <c r="H34" s="5"/>
    </row>
    <row r="35" spans="2:8" s="4" customFormat="1" ht="20.100000000000001" customHeight="1">
      <c r="B35" s="9"/>
      <c r="C35" s="9"/>
      <c r="D35" s="7"/>
      <c r="E35" s="7"/>
      <c r="F35" s="7"/>
      <c r="G35" s="5"/>
      <c r="H35" s="5"/>
    </row>
    <row r="36" spans="2:8" s="4" customFormat="1" ht="20.100000000000001" customHeight="1">
      <c r="B36" s="9"/>
      <c r="C36" s="9"/>
      <c r="D36" s="7"/>
      <c r="E36" s="7"/>
      <c r="F36" s="7"/>
      <c r="G36" s="5"/>
      <c r="H36" s="5"/>
    </row>
    <row r="37" spans="2:8" s="4" customFormat="1" ht="20.100000000000001" customHeight="1">
      <c r="D37" s="11"/>
      <c r="E37" s="11"/>
      <c r="F37" s="11"/>
      <c r="G37" s="5"/>
      <c r="H37" s="5"/>
    </row>
    <row r="38" spans="2:8" s="4" customFormat="1" ht="20.100000000000001" customHeight="1">
      <c r="D38" s="5"/>
      <c r="E38" s="5"/>
      <c r="F38" s="5"/>
      <c r="G38" s="5"/>
      <c r="H38" s="5"/>
    </row>
    <row r="39" spans="2:8" s="4" customFormat="1" ht="20.100000000000001" customHeight="1">
      <c r="D39" s="11"/>
      <c r="E39" s="11"/>
      <c r="F39" s="11"/>
      <c r="G39" s="5"/>
      <c r="H39" s="5"/>
    </row>
  </sheetData>
  <mergeCells count="6">
    <mergeCell ref="B1:H1"/>
    <mergeCell ref="B2:H2"/>
    <mergeCell ref="B3:H3"/>
    <mergeCell ref="B4:H4"/>
    <mergeCell ref="C6:E6"/>
    <mergeCell ref="F6:H6"/>
  </mergeCells>
  <pageMargins left="0.5" right="0.5" top="0.75" bottom="0.25" header="0.3" footer="0.5"/>
  <pageSetup paperSize="9" firstPageNumber="83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A4" workbookViewId="0">
      <selection activeCell="D16" sqref="D16"/>
    </sheetView>
  </sheetViews>
  <sheetFormatPr defaultRowHeight="15"/>
  <cols>
    <col min="1" max="1" width="11.42578125" customWidth="1"/>
    <col min="2" max="2" width="14.85546875" customWidth="1"/>
    <col min="3" max="3" width="14.85546875" style="1" customWidth="1"/>
    <col min="4" max="4" width="15.140625" style="1" customWidth="1"/>
    <col min="5" max="5" width="16.7109375" style="1" customWidth="1"/>
    <col min="6" max="6" width="14.140625" style="1" customWidth="1"/>
    <col min="7" max="7" width="16.7109375" style="130" customWidth="1"/>
    <col min="8" max="8" width="15.42578125" style="1" customWidth="1"/>
    <col min="9" max="9" width="16.42578125" customWidth="1"/>
    <col min="11" max="11" width="16.85546875" bestFit="1" customWidth="1"/>
  </cols>
  <sheetData>
    <row r="1" spans="1:9" s="99" customFormat="1" ht="21.95" hidden="1" customHeight="1">
      <c r="A1" s="591" t="s">
        <v>0</v>
      </c>
      <c r="B1" s="591"/>
      <c r="C1" s="591"/>
      <c r="D1" s="591"/>
      <c r="E1" s="591"/>
      <c r="F1" s="591"/>
      <c r="G1" s="591"/>
      <c r="H1" s="591"/>
      <c r="I1" s="591"/>
    </row>
    <row r="2" spans="1:9" s="99" customFormat="1" ht="21.95" hidden="1" customHeight="1">
      <c r="A2" s="592" t="s">
        <v>1570</v>
      </c>
      <c r="B2" s="592"/>
      <c r="C2" s="592"/>
      <c r="D2" s="592"/>
      <c r="E2" s="592"/>
      <c r="F2" s="592"/>
      <c r="G2" s="592"/>
      <c r="H2" s="592"/>
      <c r="I2" s="592"/>
    </row>
    <row r="3" spans="1:9" s="99" customFormat="1" ht="21.95" hidden="1" customHeight="1">
      <c r="A3" s="592" t="s">
        <v>336</v>
      </c>
      <c r="B3" s="592"/>
      <c r="C3" s="592"/>
      <c r="D3" s="592"/>
      <c r="E3" s="592"/>
      <c r="F3" s="592"/>
      <c r="G3" s="592"/>
      <c r="H3" s="592"/>
      <c r="I3" s="592"/>
    </row>
    <row r="4" spans="1:9" s="142" customFormat="1" ht="21.95" customHeight="1">
      <c r="A4" s="599" t="s">
        <v>1530</v>
      </c>
      <c r="B4" s="599"/>
      <c r="C4" s="599"/>
      <c r="D4" s="599"/>
      <c r="E4" s="599"/>
      <c r="F4" s="599"/>
      <c r="G4" s="599"/>
      <c r="H4" s="599"/>
      <c r="I4" s="599"/>
    </row>
    <row r="5" spans="1:9" s="142" customFormat="1" ht="12.75" customHeight="1">
      <c r="A5" s="169"/>
      <c r="B5" s="169"/>
      <c r="C5" s="191"/>
      <c r="D5" s="191"/>
      <c r="E5" s="191"/>
      <c r="F5" s="191"/>
      <c r="G5" s="191"/>
      <c r="H5" s="191"/>
    </row>
    <row r="6" spans="1:9" s="142" customFormat="1" ht="43.5" customHeight="1">
      <c r="A6" s="153" t="s">
        <v>62</v>
      </c>
      <c r="B6" s="179" t="s">
        <v>1579</v>
      </c>
      <c r="C6" s="179" t="s">
        <v>73</v>
      </c>
      <c r="D6" s="179" t="s">
        <v>1561</v>
      </c>
      <c r="E6" s="179" t="s">
        <v>1477</v>
      </c>
      <c r="F6" s="179" t="s">
        <v>74</v>
      </c>
      <c r="G6" s="179" t="s">
        <v>1588</v>
      </c>
      <c r="H6" s="179" t="s">
        <v>1478</v>
      </c>
      <c r="I6" s="154" t="s">
        <v>65</v>
      </c>
    </row>
    <row r="7" spans="1:9" s="142" customFormat="1" ht="24.95" customHeight="1">
      <c r="A7" s="189"/>
      <c r="B7" s="180" t="s">
        <v>1458</v>
      </c>
      <c r="C7" s="182" t="s">
        <v>1458</v>
      </c>
      <c r="D7" s="182" t="s">
        <v>1458</v>
      </c>
      <c r="E7" s="182" t="s">
        <v>1458</v>
      </c>
      <c r="F7" s="182" t="s">
        <v>1458</v>
      </c>
      <c r="G7" s="182" t="s">
        <v>1458</v>
      </c>
      <c r="H7" s="182" t="s">
        <v>1458</v>
      </c>
      <c r="I7" s="182" t="s">
        <v>1458</v>
      </c>
    </row>
    <row r="8" spans="1:9" s="142" customFormat="1" ht="24.95" customHeight="1">
      <c r="A8" s="238" t="s">
        <v>66</v>
      </c>
      <c r="B8" s="13">
        <v>0</v>
      </c>
      <c r="C8" s="13">
        <v>168649890.16</v>
      </c>
      <c r="D8" s="13">
        <v>0</v>
      </c>
      <c r="E8" s="13">
        <v>0</v>
      </c>
      <c r="F8" s="13">
        <v>12214465.67</v>
      </c>
      <c r="G8" s="13">
        <v>0</v>
      </c>
      <c r="H8" s="13">
        <v>0</v>
      </c>
      <c r="I8" s="13">
        <f>SUM(B8:H8)</f>
        <v>180864355.82999998</v>
      </c>
    </row>
    <row r="9" spans="1:9" s="142" customFormat="1" ht="24.95" customHeight="1">
      <c r="A9" s="238" t="s">
        <v>67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f>SUM(B9:H9)</f>
        <v>0</v>
      </c>
    </row>
    <row r="10" spans="1:9" s="142" customFormat="1" ht="24.95" customHeight="1">
      <c r="A10" s="238" t="s">
        <v>68</v>
      </c>
      <c r="B10" s="13">
        <v>0</v>
      </c>
      <c r="C10" s="13">
        <v>0</v>
      </c>
      <c r="D10" s="13">
        <v>0</v>
      </c>
      <c r="E10" s="13">
        <v>0</v>
      </c>
      <c r="F10" s="13">
        <v>4123583.57</v>
      </c>
      <c r="G10" s="13">
        <v>0</v>
      </c>
      <c r="H10" s="13">
        <v>0</v>
      </c>
      <c r="I10" s="13">
        <f t="shared" ref="I10:I19" si="0">SUM(B10:H10)</f>
        <v>4123583.57</v>
      </c>
    </row>
    <row r="11" spans="1:9" s="142" customFormat="1" ht="24.95" customHeight="1">
      <c r="A11" s="238" t="s">
        <v>69</v>
      </c>
      <c r="B11" s="13">
        <v>0</v>
      </c>
      <c r="C11" s="13">
        <v>0</v>
      </c>
      <c r="D11" s="13">
        <v>400000746</v>
      </c>
      <c r="E11" s="13">
        <v>342738062.5</v>
      </c>
      <c r="F11" s="13">
        <v>0</v>
      </c>
      <c r="G11" s="13">
        <v>0</v>
      </c>
      <c r="H11" s="13">
        <v>0</v>
      </c>
      <c r="I11" s="13">
        <f t="shared" si="0"/>
        <v>742738808.5</v>
      </c>
    </row>
    <row r="12" spans="1:9" s="142" customFormat="1" ht="24.95" customHeight="1">
      <c r="A12" s="238" t="s">
        <v>70</v>
      </c>
      <c r="B12" s="13">
        <v>0</v>
      </c>
      <c r="C12" s="13">
        <v>2639083.42</v>
      </c>
      <c r="D12" s="13">
        <v>0</v>
      </c>
      <c r="E12" s="13">
        <v>0</v>
      </c>
      <c r="F12" s="13">
        <v>0</v>
      </c>
      <c r="G12" s="13">
        <v>0</v>
      </c>
      <c r="H12" s="13">
        <v>61770917.020000003</v>
      </c>
      <c r="I12" s="13">
        <f t="shared" si="0"/>
        <v>64410000.440000005</v>
      </c>
    </row>
    <row r="13" spans="1:9" s="142" customFormat="1" ht="24.95" customHeight="1">
      <c r="A13" s="238" t="s">
        <v>71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f t="shared" si="0"/>
        <v>0</v>
      </c>
    </row>
    <row r="14" spans="1:9" s="142" customFormat="1" ht="24.95" customHeight="1">
      <c r="A14" s="238" t="s">
        <v>1572</v>
      </c>
      <c r="B14" s="13">
        <v>0</v>
      </c>
      <c r="C14" s="13">
        <v>0</v>
      </c>
      <c r="D14" s="13">
        <v>0</v>
      </c>
      <c r="E14" s="13">
        <v>135339716.52000001</v>
      </c>
      <c r="F14" s="13">
        <v>46120016.950000003</v>
      </c>
      <c r="G14" s="13">
        <v>0</v>
      </c>
      <c r="H14" s="13">
        <v>0</v>
      </c>
      <c r="I14" s="13">
        <f t="shared" si="0"/>
        <v>181459733.47000003</v>
      </c>
    </row>
    <row r="15" spans="1:9" s="142" customFormat="1" ht="24.95" customHeight="1">
      <c r="A15" s="238" t="s">
        <v>1573</v>
      </c>
      <c r="B15" s="13">
        <v>0</v>
      </c>
      <c r="C15" s="13">
        <v>137183167.38</v>
      </c>
      <c r="D15" s="13">
        <v>0</v>
      </c>
      <c r="E15" s="13">
        <v>0</v>
      </c>
      <c r="F15" s="13">
        <v>0</v>
      </c>
      <c r="G15" s="13">
        <v>0</v>
      </c>
      <c r="H15" s="13">
        <v>65775879.829999998</v>
      </c>
      <c r="I15" s="13">
        <f t="shared" si="0"/>
        <v>202959047.20999998</v>
      </c>
    </row>
    <row r="16" spans="1:9" s="142" customFormat="1" ht="24.95" customHeight="1">
      <c r="A16" s="238" t="s">
        <v>1574</v>
      </c>
      <c r="B16" s="13">
        <v>0</v>
      </c>
      <c r="C16" s="13">
        <v>898372.7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f t="shared" si="0"/>
        <v>898372.7</v>
      </c>
    </row>
    <row r="17" spans="1:11" s="142" customFormat="1" ht="24.95" customHeight="1">
      <c r="A17" s="238" t="s">
        <v>1575</v>
      </c>
      <c r="B17" s="13">
        <v>117968648.01000001</v>
      </c>
      <c r="C17" s="13">
        <v>1523671.8</v>
      </c>
      <c r="D17" s="13">
        <v>0</v>
      </c>
      <c r="E17" s="13">
        <f>14711738.67+141385779.29</f>
        <v>156097517.95999998</v>
      </c>
      <c r="F17" s="13">
        <v>27738943.09</v>
      </c>
      <c r="G17" s="13">
        <v>0</v>
      </c>
      <c r="H17" s="13">
        <v>0</v>
      </c>
      <c r="I17" s="13">
        <f t="shared" si="0"/>
        <v>303328780.85999995</v>
      </c>
      <c r="K17" s="213"/>
    </row>
    <row r="18" spans="1:11" s="142" customFormat="1" ht="24.95" customHeight="1">
      <c r="A18" s="238" t="s">
        <v>1576</v>
      </c>
      <c r="B18" s="13">
        <v>0</v>
      </c>
      <c r="C18" s="13">
        <v>4444980.74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f t="shared" si="0"/>
        <v>4444980.74</v>
      </c>
      <c r="K18" s="126"/>
    </row>
    <row r="19" spans="1:11" s="142" customFormat="1" ht="24.95" customHeight="1">
      <c r="A19" s="238" t="s">
        <v>1577</v>
      </c>
      <c r="B19" s="13">
        <v>0</v>
      </c>
      <c r="C19" s="13">
        <v>5983272.4800000004</v>
      </c>
      <c r="D19" s="13">
        <v>0</v>
      </c>
      <c r="E19" s="13">
        <f>115982770.89+267709861.47</f>
        <v>383692632.36000001</v>
      </c>
      <c r="F19" s="13">
        <v>0</v>
      </c>
      <c r="G19" s="13">
        <v>3934272411.4400001</v>
      </c>
      <c r="H19" s="13">
        <v>0</v>
      </c>
      <c r="I19" s="13">
        <f t="shared" si="0"/>
        <v>4323948316.2799997</v>
      </c>
    </row>
    <row r="20" spans="1:11" s="171" customFormat="1" ht="24.95" customHeight="1">
      <c r="A20" s="203" t="s">
        <v>65</v>
      </c>
      <c r="B20" s="239">
        <f>SUM(B8:B19)</f>
        <v>117968648.01000001</v>
      </c>
      <c r="C20" s="239">
        <f t="shared" ref="C20:I20" si="1">SUM(C8:C19)</f>
        <v>321322438.68000001</v>
      </c>
      <c r="D20" s="239">
        <f t="shared" si="1"/>
        <v>400000746</v>
      </c>
      <c r="E20" s="239">
        <f t="shared" si="1"/>
        <v>1017867929.34</v>
      </c>
      <c r="F20" s="239">
        <f t="shared" si="1"/>
        <v>90197009.280000001</v>
      </c>
      <c r="G20" s="239">
        <f t="shared" si="1"/>
        <v>3934272411.4400001</v>
      </c>
      <c r="H20" s="239">
        <f t="shared" si="1"/>
        <v>127546796.84999999</v>
      </c>
      <c r="I20" s="239">
        <f t="shared" si="1"/>
        <v>6009175979.5999994</v>
      </c>
    </row>
    <row r="21" spans="1:11" s="204" customFormat="1" ht="20.100000000000001" customHeight="1">
      <c r="C21" s="230"/>
      <c r="D21" s="230"/>
      <c r="E21" s="230"/>
      <c r="F21" s="205"/>
      <c r="G21" s="205"/>
      <c r="H21" s="205"/>
    </row>
    <row r="22" spans="1:11" s="204" customFormat="1" ht="20.100000000000001" customHeight="1">
      <c r="A22" s="237"/>
      <c r="B22" s="237"/>
      <c r="C22" s="230"/>
      <c r="D22" s="230"/>
      <c r="E22" s="230"/>
      <c r="F22" s="205"/>
      <c r="G22" s="205"/>
      <c r="H22" s="205"/>
    </row>
    <row r="23" spans="1:11" s="204" customFormat="1" ht="20.100000000000001" customHeight="1">
      <c r="C23" s="230"/>
      <c r="D23" s="230"/>
      <c r="E23" s="230"/>
      <c r="F23" s="205"/>
      <c r="G23" s="205"/>
      <c r="H23" s="205"/>
    </row>
    <row r="24" spans="1:11" s="204" customFormat="1" ht="20.100000000000001" customHeight="1">
      <c r="A24" s="237"/>
      <c r="B24" s="237"/>
      <c r="C24" s="230"/>
      <c r="D24" s="230"/>
      <c r="E24" s="230"/>
      <c r="F24" s="205"/>
      <c r="G24" s="205"/>
      <c r="H24" s="205"/>
    </row>
    <row r="25" spans="1:11" s="204" customFormat="1" ht="20.100000000000001" customHeight="1">
      <c r="C25" s="230"/>
      <c r="D25" s="230"/>
      <c r="E25" s="230"/>
      <c r="F25" s="205"/>
      <c r="G25" s="205"/>
      <c r="H25" s="205"/>
    </row>
    <row r="26" spans="1:11" s="204" customFormat="1" ht="20.100000000000001" customHeight="1">
      <c r="C26" s="205"/>
      <c r="D26" s="205"/>
      <c r="E26" s="205"/>
      <c r="F26" s="205"/>
      <c r="G26" s="205"/>
      <c r="H26" s="205"/>
    </row>
    <row r="27" spans="1:11" s="204" customFormat="1" ht="20.100000000000001" customHeight="1">
      <c r="A27" s="240"/>
      <c r="B27" s="240"/>
      <c r="C27" s="205"/>
      <c r="D27" s="205"/>
      <c r="E27" s="205"/>
      <c r="F27" s="205"/>
      <c r="G27" s="205"/>
      <c r="H27" s="205"/>
    </row>
    <row r="28" spans="1:11" s="204" customFormat="1" ht="20.100000000000001" customHeight="1">
      <c r="C28" s="205"/>
      <c r="D28" s="205"/>
      <c r="E28" s="205"/>
      <c r="F28" s="205"/>
      <c r="G28" s="205"/>
      <c r="H28" s="205"/>
    </row>
    <row r="29" spans="1:11" s="204" customFormat="1" ht="20.100000000000001" customHeight="1">
      <c r="A29" s="241"/>
      <c r="B29" s="241"/>
      <c r="C29" s="205"/>
      <c r="D29" s="205"/>
      <c r="E29" s="205"/>
      <c r="F29" s="205"/>
      <c r="G29" s="205"/>
      <c r="H29" s="205"/>
    </row>
    <row r="30" spans="1:11" s="204" customFormat="1" ht="20.100000000000001" customHeight="1">
      <c r="C30" s="230"/>
      <c r="D30" s="230"/>
      <c r="E30" s="230"/>
      <c r="F30" s="205"/>
      <c r="G30" s="205"/>
      <c r="H30" s="205"/>
    </row>
    <row r="31" spans="1:11" s="4" customFormat="1" ht="20.100000000000001" customHeight="1">
      <c r="C31" s="5"/>
      <c r="D31" s="5"/>
      <c r="E31" s="5"/>
      <c r="F31" s="5"/>
      <c r="G31" s="5"/>
      <c r="H31" s="5"/>
    </row>
    <row r="32" spans="1:11" s="4" customFormat="1" ht="20.100000000000001" customHeight="1">
      <c r="C32" s="7"/>
      <c r="D32" s="7"/>
      <c r="E32" s="7"/>
      <c r="F32" s="5"/>
      <c r="G32" s="5"/>
      <c r="H32" s="5"/>
    </row>
    <row r="33" spans="1:8" s="4" customFormat="1" ht="20.100000000000001" customHeight="1">
      <c r="A33" s="9"/>
      <c r="B33" s="9"/>
      <c r="C33" s="5"/>
      <c r="D33" s="5"/>
      <c r="E33" s="5"/>
      <c r="F33" s="5"/>
      <c r="G33" s="5"/>
      <c r="H33" s="5"/>
    </row>
    <row r="34" spans="1:8" s="4" customFormat="1" ht="20.100000000000001" customHeight="1">
      <c r="A34" s="9"/>
      <c r="B34" s="9"/>
      <c r="C34" s="7"/>
      <c r="D34" s="7"/>
      <c r="E34" s="7"/>
      <c r="F34" s="5"/>
      <c r="G34" s="5"/>
      <c r="H34" s="5"/>
    </row>
    <row r="35" spans="1:8" s="4" customFormat="1" ht="20.100000000000001" customHeight="1">
      <c r="A35" s="9"/>
      <c r="B35" s="9"/>
      <c r="C35" s="7"/>
      <c r="D35" s="7"/>
      <c r="E35" s="7"/>
      <c r="F35" s="5"/>
      <c r="G35" s="5"/>
      <c r="H35" s="5"/>
    </row>
    <row r="36" spans="1:8" s="4" customFormat="1" ht="20.100000000000001" customHeight="1">
      <c r="C36" s="11"/>
      <c r="D36" s="11"/>
      <c r="E36" s="11"/>
      <c r="F36" s="5"/>
      <c r="G36" s="5"/>
      <c r="H36" s="5"/>
    </row>
    <row r="37" spans="1:8" s="4" customFormat="1" ht="20.100000000000001" customHeight="1">
      <c r="C37" s="5"/>
      <c r="D37" s="5"/>
      <c r="E37" s="5"/>
      <c r="F37" s="5"/>
      <c r="G37" s="5"/>
      <c r="H37" s="5"/>
    </row>
    <row r="38" spans="1:8" s="4" customFormat="1" ht="20.100000000000001" customHeight="1">
      <c r="C38" s="11"/>
      <c r="D38" s="11"/>
      <c r="E38" s="11"/>
      <c r="F38" s="5"/>
      <c r="G38" s="5"/>
      <c r="H38" s="5"/>
    </row>
  </sheetData>
  <mergeCells count="4">
    <mergeCell ref="A3:I3"/>
    <mergeCell ref="A4:I4"/>
    <mergeCell ref="A1:I1"/>
    <mergeCell ref="A2:I2"/>
  </mergeCells>
  <pageMargins left="0.5" right="0.5" top="0.75" bottom="0.25" header="0.3" footer="0.5"/>
  <pageSetup paperSize="9" firstPageNumber="84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7"/>
  <sheetViews>
    <sheetView topLeftCell="A4" workbookViewId="0">
      <selection activeCell="C12" sqref="C12"/>
    </sheetView>
  </sheetViews>
  <sheetFormatPr defaultRowHeight="15"/>
  <cols>
    <col min="1" max="1" width="2.85546875" customWidth="1"/>
    <col min="2" max="2" width="10.140625" customWidth="1"/>
    <col min="3" max="3" width="14.85546875" style="16" customWidth="1"/>
    <col min="4" max="6" width="14.85546875" style="15" customWidth="1"/>
    <col min="7" max="9" width="14.85546875" style="16" customWidth="1"/>
    <col min="10" max="10" width="14.85546875" customWidth="1"/>
  </cols>
  <sheetData>
    <row r="1" spans="2:10" ht="21.95" hidden="1" customHeight="1">
      <c r="B1" s="591" t="s">
        <v>0</v>
      </c>
      <c r="C1" s="591"/>
      <c r="D1" s="591"/>
      <c r="E1" s="591"/>
      <c r="F1" s="591"/>
      <c r="G1" s="591"/>
      <c r="H1" s="591"/>
      <c r="I1" s="591"/>
      <c r="J1" s="591"/>
    </row>
    <row r="2" spans="2:10" ht="21.95" hidden="1" customHeight="1">
      <c r="B2" s="592" t="s">
        <v>1571</v>
      </c>
      <c r="C2" s="592"/>
      <c r="D2" s="592"/>
      <c r="E2" s="592"/>
      <c r="F2" s="592"/>
      <c r="G2" s="592"/>
      <c r="H2" s="592"/>
      <c r="I2" s="592"/>
      <c r="J2" s="592"/>
    </row>
    <row r="3" spans="2:10" s="99" customFormat="1" ht="21.95" hidden="1" customHeight="1">
      <c r="B3" s="592" t="s">
        <v>336</v>
      </c>
      <c r="C3" s="592"/>
      <c r="D3" s="592"/>
      <c r="E3" s="592"/>
      <c r="F3" s="592"/>
      <c r="G3" s="592"/>
      <c r="H3" s="592"/>
      <c r="I3" s="592"/>
      <c r="J3" s="592"/>
    </row>
    <row r="4" spans="2:10" ht="21.95" customHeight="1">
      <c r="B4" s="591" t="s">
        <v>1578</v>
      </c>
      <c r="C4" s="591"/>
      <c r="D4" s="591"/>
      <c r="E4" s="591"/>
      <c r="F4" s="591"/>
      <c r="G4" s="591"/>
      <c r="H4" s="591"/>
      <c r="I4" s="591"/>
      <c r="J4" s="591"/>
    </row>
    <row r="5" spans="2:10" ht="12.75" customHeight="1">
      <c r="B5" s="6"/>
      <c r="C5" s="14"/>
    </row>
    <row r="6" spans="2:10" s="142" customFormat="1" ht="44.25" customHeight="1">
      <c r="B6" s="242" t="s">
        <v>62</v>
      </c>
      <c r="C6" s="243" t="s">
        <v>78</v>
      </c>
      <c r="D6" s="244" t="s">
        <v>79</v>
      </c>
      <c r="E6" s="244" t="s">
        <v>80</v>
      </c>
      <c r="F6" s="244" t="s">
        <v>81</v>
      </c>
      <c r="G6" s="244" t="s">
        <v>82</v>
      </c>
      <c r="H6" s="245" t="s">
        <v>83</v>
      </c>
      <c r="I6" s="244" t="s">
        <v>84</v>
      </c>
      <c r="J6" s="246" t="s">
        <v>65</v>
      </c>
    </row>
    <row r="7" spans="2:10" s="142" customFormat="1" ht="24.95" customHeight="1">
      <c r="B7" s="247"/>
      <c r="C7" s="180" t="s">
        <v>1458</v>
      </c>
      <c r="D7" s="182" t="s">
        <v>1458</v>
      </c>
      <c r="E7" s="182" t="s">
        <v>1458</v>
      </c>
      <c r="F7" s="182" t="s">
        <v>1458</v>
      </c>
      <c r="G7" s="182" t="s">
        <v>1458</v>
      </c>
      <c r="H7" s="182" t="s">
        <v>1458</v>
      </c>
      <c r="I7" s="182" t="s">
        <v>1458</v>
      </c>
      <c r="J7" s="182" t="s">
        <v>1458</v>
      </c>
    </row>
    <row r="8" spans="2:10" s="142" customFormat="1" ht="24.95" customHeight="1">
      <c r="B8" s="134" t="s">
        <v>66</v>
      </c>
      <c r="C8" s="21">
        <v>397196808</v>
      </c>
      <c r="D8" s="248">
        <v>45608594.700000003</v>
      </c>
      <c r="E8" s="21">
        <v>0</v>
      </c>
      <c r="F8" s="21">
        <v>102458000.01000001</v>
      </c>
      <c r="G8" s="21">
        <v>248153651.78</v>
      </c>
      <c r="H8" s="21">
        <v>86405567.030000001</v>
      </c>
      <c r="I8" s="21">
        <v>89972595.590000004</v>
      </c>
      <c r="J8" s="249">
        <f>SUM(C8:I8)</f>
        <v>969795217.11000001</v>
      </c>
    </row>
    <row r="9" spans="2:10" s="142" customFormat="1" ht="24.95" customHeight="1">
      <c r="B9" s="134" t="s">
        <v>67</v>
      </c>
      <c r="C9" s="21">
        <v>397196808</v>
      </c>
      <c r="D9" s="248">
        <v>50235411.609999999</v>
      </c>
      <c r="E9" s="21">
        <v>41112500</v>
      </c>
      <c r="F9" s="21">
        <v>102458000.01000001</v>
      </c>
      <c r="G9" s="21">
        <v>248153651.78</v>
      </c>
      <c r="H9" s="21">
        <v>86405567.030000001</v>
      </c>
      <c r="I9" s="21">
        <v>89972595.590000004</v>
      </c>
      <c r="J9" s="249">
        <f t="shared" ref="J9:J19" si="0">SUM(C9:I9)</f>
        <v>1015534534.02</v>
      </c>
    </row>
    <row r="10" spans="2:10" s="142" customFormat="1" ht="24.95" customHeight="1">
      <c r="B10" s="134" t="s">
        <v>68</v>
      </c>
      <c r="C10" s="21">
        <v>397196808</v>
      </c>
      <c r="D10" s="248">
        <v>50257868.07</v>
      </c>
      <c r="E10" s="21">
        <v>0</v>
      </c>
      <c r="F10" s="21">
        <v>102458000.01000001</v>
      </c>
      <c r="G10" s="21">
        <v>248153651.78</v>
      </c>
      <c r="H10" s="21">
        <v>86405567.030000001</v>
      </c>
      <c r="I10" s="21">
        <v>89972595.590000004</v>
      </c>
      <c r="J10" s="249">
        <f t="shared" si="0"/>
        <v>974444490.48000002</v>
      </c>
    </row>
    <row r="11" spans="2:10" s="142" customFormat="1" ht="24.95" customHeight="1">
      <c r="B11" s="134" t="s">
        <v>69</v>
      </c>
      <c r="C11" s="21">
        <v>397196808</v>
      </c>
      <c r="D11" s="248">
        <v>50257868.07</v>
      </c>
      <c r="E11" s="21">
        <v>0</v>
      </c>
      <c r="F11" s="21">
        <v>102458000.01000001</v>
      </c>
      <c r="G11" s="21">
        <v>248153651.78</v>
      </c>
      <c r="H11" s="21">
        <v>86405567.030000001</v>
      </c>
      <c r="I11" s="21">
        <v>89972595.590000004</v>
      </c>
      <c r="J11" s="249">
        <f t="shared" si="0"/>
        <v>974444490.48000002</v>
      </c>
    </row>
    <row r="12" spans="2:10" s="142" customFormat="1" ht="24.95" customHeight="1">
      <c r="B12" s="134" t="s">
        <v>70</v>
      </c>
      <c r="C12" s="21">
        <v>397196808</v>
      </c>
      <c r="D12" s="248">
        <v>50257868.07</v>
      </c>
      <c r="E12" s="21">
        <v>41112500</v>
      </c>
      <c r="F12" s="21">
        <v>102458000.01000001</v>
      </c>
      <c r="G12" s="21">
        <v>248153651.78</v>
      </c>
      <c r="H12" s="21">
        <v>86405567.030000001</v>
      </c>
      <c r="I12" s="21">
        <v>89972595.590000004</v>
      </c>
      <c r="J12" s="249">
        <f t="shared" si="0"/>
        <v>1015556990.48</v>
      </c>
    </row>
    <row r="13" spans="2:10" s="142" customFormat="1" ht="24.95" customHeight="1">
      <c r="B13" s="134" t="s">
        <v>71</v>
      </c>
      <c r="C13" s="21">
        <v>397196808</v>
      </c>
      <c r="D13" s="248">
        <v>50257868.07</v>
      </c>
      <c r="E13" s="21">
        <v>0</v>
      </c>
      <c r="F13" s="21">
        <v>102458000.01000001</v>
      </c>
      <c r="G13" s="21">
        <v>248153651.78</v>
      </c>
      <c r="H13" s="21">
        <v>86405567.030000001</v>
      </c>
      <c r="I13" s="21">
        <v>89972595.590000004</v>
      </c>
      <c r="J13" s="249">
        <f t="shared" si="0"/>
        <v>974444490.48000002</v>
      </c>
    </row>
    <row r="14" spans="2:10" s="142" customFormat="1" ht="24.95" customHeight="1">
      <c r="B14" s="134" t="s">
        <v>1572</v>
      </c>
      <c r="C14" s="21">
        <v>397196808</v>
      </c>
      <c r="D14" s="248">
        <v>50257868.07</v>
      </c>
      <c r="E14" s="21">
        <v>0</v>
      </c>
      <c r="F14" s="21">
        <v>102458000.01000001</v>
      </c>
      <c r="G14" s="21">
        <v>248153651.78</v>
      </c>
      <c r="H14" s="21">
        <v>86405567.030000001</v>
      </c>
      <c r="I14" s="21">
        <v>89972595.590000004</v>
      </c>
      <c r="J14" s="249">
        <f t="shared" si="0"/>
        <v>974444490.48000002</v>
      </c>
    </row>
    <row r="15" spans="2:10" s="142" customFormat="1" ht="24.95" customHeight="1">
      <c r="B15" s="134" t="s">
        <v>1573</v>
      </c>
      <c r="C15" s="21">
        <v>397196808</v>
      </c>
      <c r="D15" s="248">
        <v>53517269.109999999</v>
      </c>
      <c r="E15" s="21">
        <v>41112500</v>
      </c>
      <c r="F15" s="21">
        <v>102458000.01000001</v>
      </c>
      <c r="G15" s="21">
        <v>248153651.78</v>
      </c>
      <c r="H15" s="21">
        <v>86405567.030000001</v>
      </c>
      <c r="I15" s="21">
        <v>89972595.590000004</v>
      </c>
      <c r="J15" s="249">
        <f t="shared" si="0"/>
        <v>1018816391.52</v>
      </c>
    </row>
    <row r="16" spans="2:10" s="142" customFormat="1" ht="24.95" customHeight="1">
      <c r="B16" s="134" t="s">
        <v>1574</v>
      </c>
      <c r="C16" s="21">
        <v>397196808</v>
      </c>
      <c r="D16" s="248">
        <v>53517269.109999999</v>
      </c>
      <c r="E16" s="21">
        <v>0</v>
      </c>
      <c r="F16" s="21">
        <v>102458000.01000001</v>
      </c>
      <c r="G16" s="21">
        <v>248153651.78</v>
      </c>
      <c r="H16" s="21">
        <v>86405567.030000001</v>
      </c>
      <c r="I16" s="21">
        <v>89972595.590000004</v>
      </c>
      <c r="J16" s="249">
        <f t="shared" si="0"/>
        <v>977703891.51999998</v>
      </c>
    </row>
    <row r="17" spans="2:10" s="142" customFormat="1" ht="24.95" customHeight="1">
      <c r="B17" s="134" t="s">
        <v>1575</v>
      </c>
      <c r="C17" s="21">
        <v>0</v>
      </c>
      <c r="D17" s="248">
        <v>53517269.109999999</v>
      </c>
      <c r="E17" s="21">
        <v>0</v>
      </c>
      <c r="F17" s="21">
        <v>102458000.01000001</v>
      </c>
      <c r="G17" s="21">
        <v>248153651.78</v>
      </c>
      <c r="H17" s="21">
        <v>86405567.030000001</v>
      </c>
      <c r="I17" s="21">
        <v>89972595.590000004</v>
      </c>
      <c r="J17" s="249">
        <f t="shared" si="0"/>
        <v>580507083.51999998</v>
      </c>
    </row>
    <row r="18" spans="2:10" s="142" customFormat="1" ht="24.95" customHeight="1">
      <c r="B18" s="134" t="s">
        <v>1576</v>
      </c>
      <c r="C18" s="21">
        <v>0</v>
      </c>
      <c r="D18" s="248">
        <v>53517269.109999999</v>
      </c>
      <c r="E18" s="21">
        <v>41112500</v>
      </c>
      <c r="F18" s="21">
        <v>102458000.01000001</v>
      </c>
      <c r="G18" s="21">
        <v>248153651.78</v>
      </c>
      <c r="H18" s="21">
        <v>86405567.030000001</v>
      </c>
      <c r="I18" s="21">
        <v>89972595.590000004</v>
      </c>
      <c r="J18" s="249">
        <f t="shared" si="0"/>
        <v>621619583.51999998</v>
      </c>
    </row>
    <row r="19" spans="2:10" s="142" customFormat="1" ht="24.95" customHeight="1">
      <c r="B19" s="134" t="s">
        <v>1577</v>
      </c>
      <c r="C19" s="21">
        <v>0</v>
      </c>
      <c r="D19" s="248">
        <v>53517269.109999999</v>
      </c>
      <c r="E19" s="21"/>
      <c r="F19" s="21">
        <v>102458000.01000001</v>
      </c>
      <c r="G19" s="21">
        <v>248153651.78</v>
      </c>
      <c r="H19" s="21">
        <v>86405567.030000001</v>
      </c>
      <c r="I19" s="21">
        <v>89972595.590000004</v>
      </c>
      <c r="J19" s="249">
        <f t="shared" si="0"/>
        <v>580507083.51999998</v>
      </c>
    </row>
    <row r="20" spans="2:10" s="142" customFormat="1" ht="24.95" customHeight="1">
      <c r="B20" s="203" t="s">
        <v>65</v>
      </c>
      <c r="C20" s="250">
        <f>SUM(C8:C19)</f>
        <v>3574771272</v>
      </c>
      <c r="D20" s="250">
        <f t="shared" ref="D20:J20" si="1">SUM(D8:D19)</f>
        <v>614719692.21000004</v>
      </c>
      <c r="E20" s="250">
        <f>SUM(E8:E19)</f>
        <v>164450000</v>
      </c>
      <c r="F20" s="250">
        <f t="shared" si="1"/>
        <v>1229496000.1200001</v>
      </c>
      <c r="G20" s="250">
        <f t="shared" si="1"/>
        <v>2977843821.3600006</v>
      </c>
      <c r="H20" s="250">
        <f t="shared" si="1"/>
        <v>1036866804.3599998</v>
      </c>
      <c r="I20" s="250">
        <f t="shared" si="1"/>
        <v>1079671147.0800002</v>
      </c>
      <c r="J20" s="250">
        <f t="shared" si="1"/>
        <v>10677818737.130001</v>
      </c>
    </row>
    <row r="21" spans="2:10" s="204" customFormat="1" ht="20.100000000000001" customHeight="1">
      <c r="B21" s="237"/>
      <c r="C21" s="251"/>
      <c r="D21" s="252"/>
      <c r="E21" s="252"/>
      <c r="F21" s="252"/>
      <c r="G21" s="251"/>
      <c r="H21" s="251"/>
      <c r="I21" s="251"/>
    </row>
    <row r="22" spans="2:10" s="204" customFormat="1" ht="20.100000000000001" customHeight="1">
      <c r="C22" s="251"/>
      <c r="D22" s="252"/>
      <c r="E22" s="252"/>
      <c r="F22" s="252"/>
      <c r="G22" s="251"/>
      <c r="H22" s="251"/>
      <c r="I22" s="251"/>
    </row>
    <row r="23" spans="2:10" s="204" customFormat="1" ht="20.100000000000001" hidden="1" customHeight="1">
      <c r="B23" s="237"/>
      <c r="C23" s="251"/>
      <c r="D23" s="252"/>
      <c r="E23" s="252"/>
      <c r="F23" s="252"/>
      <c r="G23" s="253">
        <f>C20+F20+G20+H20+I20+E20</f>
        <v>10063099044.92</v>
      </c>
      <c r="H23" s="251"/>
      <c r="I23" s="251"/>
    </row>
    <row r="24" spans="2:10" s="204" customFormat="1" ht="20.100000000000001" customHeight="1">
      <c r="C24" s="251"/>
      <c r="D24" s="252"/>
      <c r="E24" s="252"/>
      <c r="F24" s="252"/>
      <c r="G24" s="251"/>
      <c r="H24" s="251"/>
      <c r="I24" s="251"/>
    </row>
    <row r="25" spans="2:10" s="204" customFormat="1" ht="20.100000000000001" customHeight="1">
      <c r="C25" s="251"/>
      <c r="D25" s="252"/>
      <c r="E25" s="252"/>
      <c r="F25" s="252"/>
      <c r="G25" s="251"/>
      <c r="H25" s="251"/>
      <c r="I25" s="251"/>
    </row>
    <row r="26" spans="2:10" s="4" customFormat="1" ht="20.100000000000001" customHeight="1">
      <c r="B26" s="9"/>
      <c r="C26" s="19"/>
      <c r="D26" s="18"/>
      <c r="E26" s="18"/>
      <c r="F26" s="18"/>
      <c r="G26" s="17"/>
      <c r="H26" s="17"/>
      <c r="I26" s="17"/>
    </row>
    <row r="27" spans="2:10" s="4" customFormat="1" ht="20.100000000000001" customHeight="1">
      <c r="C27" s="17"/>
      <c r="D27" s="18"/>
      <c r="E27" s="18"/>
      <c r="F27" s="18"/>
      <c r="G27" s="17"/>
      <c r="H27" s="17"/>
      <c r="I27" s="17"/>
    </row>
    <row r="28" spans="2:10" s="4" customFormat="1" ht="20.100000000000001" customHeight="1">
      <c r="B28" s="10"/>
      <c r="C28" s="20"/>
      <c r="D28" s="18"/>
      <c r="E28" s="18"/>
      <c r="F28" s="18"/>
      <c r="G28" s="17"/>
      <c r="H28" s="17"/>
      <c r="I28" s="17"/>
    </row>
    <row r="29" spans="2:10" s="4" customFormat="1" ht="20.100000000000001" customHeight="1">
      <c r="C29" s="17"/>
      <c r="D29" s="18"/>
      <c r="E29" s="18"/>
      <c r="F29" s="18"/>
      <c r="G29" s="17"/>
      <c r="H29" s="17"/>
      <c r="I29" s="17"/>
    </row>
    <row r="30" spans="2:10" s="4" customFormat="1" ht="20.100000000000001" customHeight="1">
      <c r="C30" s="17"/>
      <c r="D30" s="18"/>
      <c r="E30" s="18"/>
      <c r="F30" s="18"/>
      <c r="G30" s="17"/>
      <c r="H30" s="17"/>
      <c r="I30" s="17"/>
    </row>
    <row r="31" spans="2:10" s="4" customFormat="1" ht="20.100000000000001" customHeight="1">
      <c r="C31" s="17"/>
      <c r="D31" s="18"/>
      <c r="E31" s="18"/>
      <c r="F31" s="18"/>
      <c r="G31" s="17"/>
      <c r="H31" s="17"/>
      <c r="I31" s="17"/>
    </row>
    <row r="32" spans="2:10" s="4" customFormat="1" ht="20.100000000000001" customHeight="1">
      <c r="B32" s="9"/>
      <c r="C32" s="19"/>
      <c r="D32" s="18"/>
      <c r="E32" s="18"/>
      <c r="F32" s="18"/>
      <c r="G32" s="17"/>
      <c r="H32" s="17"/>
      <c r="I32" s="17"/>
    </row>
    <row r="33" spans="2:9" s="4" customFormat="1" ht="20.100000000000001" customHeight="1">
      <c r="B33" s="9"/>
      <c r="C33" s="19"/>
      <c r="D33" s="18"/>
      <c r="E33" s="18"/>
      <c r="F33" s="18"/>
      <c r="G33" s="17"/>
      <c r="H33" s="17"/>
      <c r="I33" s="17"/>
    </row>
    <row r="34" spans="2:9" s="4" customFormat="1" ht="20.100000000000001" customHeight="1">
      <c r="B34" s="9"/>
      <c r="C34" s="19"/>
      <c r="D34" s="18"/>
      <c r="E34" s="18"/>
      <c r="F34" s="18"/>
      <c r="G34" s="17"/>
      <c r="H34" s="17"/>
      <c r="I34" s="17"/>
    </row>
    <row r="35" spans="2:9" s="4" customFormat="1" ht="20.100000000000001" customHeight="1">
      <c r="C35" s="17"/>
      <c r="D35" s="18"/>
      <c r="E35" s="18"/>
      <c r="F35" s="18"/>
      <c r="G35" s="17"/>
      <c r="H35" s="17"/>
      <c r="I35" s="17"/>
    </row>
    <row r="36" spans="2:9" s="4" customFormat="1" ht="20.100000000000001" customHeight="1">
      <c r="C36" s="17"/>
      <c r="D36" s="18"/>
      <c r="E36" s="18"/>
      <c r="F36" s="18"/>
      <c r="G36" s="17"/>
      <c r="H36" s="17"/>
      <c r="I36" s="17"/>
    </row>
    <row r="37" spans="2:9" s="4" customFormat="1" ht="20.100000000000001" customHeight="1">
      <c r="C37" s="17"/>
      <c r="D37" s="18"/>
      <c r="E37" s="18"/>
      <c r="F37" s="18"/>
      <c r="G37" s="17"/>
      <c r="H37" s="17"/>
      <c r="I37" s="17"/>
    </row>
  </sheetData>
  <mergeCells count="4">
    <mergeCell ref="B1:J1"/>
    <mergeCell ref="B2:J2"/>
    <mergeCell ref="B3:J3"/>
    <mergeCell ref="B4:J4"/>
  </mergeCells>
  <pageMargins left="0.5" right="0.5" top="0.75" bottom="0.25" header="0.3" footer="0.5"/>
  <pageSetup paperSize="9" firstPageNumber="85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4"/>
  <sheetViews>
    <sheetView topLeftCell="A4" workbookViewId="0">
      <selection activeCell="F14" sqref="F14"/>
    </sheetView>
  </sheetViews>
  <sheetFormatPr defaultRowHeight="15"/>
  <cols>
    <col min="1" max="1" width="6.42578125" customWidth="1"/>
    <col min="2" max="2" width="13.140625" style="43" customWidth="1"/>
    <col min="3" max="3" width="9" style="15" customWidth="1"/>
    <col min="4" max="4" width="30.5703125" style="42" customWidth="1"/>
    <col min="5" max="5" width="21.42578125" style="15" customWidth="1"/>
    <col min="6" max="6" width="21.7109375" style="15" customWidth="1"/>
    <col min="7" max="7" width="21.7109375" style="15" hidden="1" customWidth="1"/>
    <col min="8" max="8" width="21.85546875" style="15" customWidth="1"/>
    <col min="10" max="10" width="17.5703125" bestFit="1" customWidth="1"/>
  </cols>
  <sheetData>
    <row r="1" spans="2:11" s="101" customFormat="1" ht="21.95" hidden="1" customHeight="1">
      <c r="B1" s="591" t="s">
        <v>0</v>
      </c>
      <c r="C1" s="591"/>
      <c r="D1" s="591"/>
      <c r="E1" s="591"/>
      <c r="F1" s="591"/>
      <c r="G1" s="591"/>
      <c r="H1" s="591"/>
      <c r="I1" s="104"/>
      <c r="J1" s="104"/>
      <c r="K1" s="104"/>
    </row>
    <row r="2" spans="2:11" s="101" customFormat="1" ht="21.95" hidden="1" customHeight="1">
      <c r="B2" s="592" t="s">
        <v>1571</v>
      </c>
      <c r="C2" s="592"/>
      <c r="D2" s="592"/>
      <c r="E2" s="592"/>
      <c r="F2" s="592"/>
      <c r="G2" s="592"/>
      <c r="H2" s="592"/>
      <c r="I2" s="105"/>
      <c r="J2" s="105"/>
      <c r="K2" s="105"/>
    </row>
    <row r="3" spans="2:11" s="101" customFormat="1" ht="21.95" hidden="1" customHeight="1">
      <c r="B3" s="592" t="s">
        <v>336</v>
      </c>
      <c r="C3" s="592"/>
      <c r="D3" s="592"/>
      <c r="E3" s="592"/>
      <c r="F3" s="592"/>
      <c r="G3" s="592"/>
      <c r="H3" s="592"/>
      <c r="I3" s="105"/>
      <c r="J3" s="105"/>
      <c r="K3" s="105"/>
    </row>
    <row r="4" spans="2:11" s="101" customFormat="1" ht="21.95" customHeight="1">
      <c r="B4" s="591" t="s">
        <v>1641</v>
      </c>
      <c r="C4" s="591"/>
      <c r="D4" s="591"/>
      <c r="E4" s="591"/>
      <c r="F4" s="591"/>
      <c r="G4" s="591"/>
      <c r="H4" s="591"/>
      <c r="I4" s="104"/>
      <c r="J4" s="104"/>
      <c r="K4" s="104"/>
    </row>
    <row r="5" spans="2:11" ht="7.5" customHeight="1"/>
    <row r="6" spans="2:11" s="257" customFormat="1" ht="28.5" customHeight="1">
      <c r="B6" s="254" t="s">
        <v>774</v>
      </c>
      <c r="C6" s="217" t="s">
        <v>89</v>
      </c>
      <c r="D6" s="217" t="s">
        <v>756</v>
      </c>
      <c r="E6" s="255" t="s">
        <v>691</v>
      </c>
      <c r="F6" s="256" t="s">
        <v>692</v>
      </c>
      <c r="G6" s="256"/>
      <c r="H6" s="217" t="s">
        <v>93</v>
      </c>
    </row>
    <row r="7" spans="2:11" s="204" customFormat="1" ht="20.100000000000001" customHeight="1">
      <c r="B7" s="258"/>
      <c r="C7" s="143"/>
      <c r="D7" s="259"/>
      <c r="E7" s="180" t="s">
        <v>1458</v>
      </c>
      <c r="F7" s="182" t="s">
        <v>1458</v>
      </c>
      <c r="G7" s="182" t="s">
        <v>1479</v>
      </c>
      <c r="H7" s="182" t="s">
        <v>1458</v>
      </c>
    </row>
    <row r="8" spans="2:11" s="204" customFormat="1" ht="20.100000000000001" customHeight="1">
      <c r="B8" s="258"/>
      <c r="C8" s="143"/>
      <c r="D8" s="259" t="s">
        <v>757</v>
      </c>
      <c r="E8" s="260"/>
      <c r="F8" s="260"/>
      <c r="G8" s="260"/>
      <c r="H8" s="260"/>
    </row>
    <row r="9" spans="2:11" s="263" customFormat="1" ht="20.100000000000001" customHeight="1">
      <c r="B9" s="261">
        <v>1201</v>
      </c>
      <c r="C9" s="143">
        <v>401</v>
      </c>
      <c r="D9" s="262" t="s">
        <v>758</v>
      </c>
      <c r="E9" s="143"/>
      <c r="F9" s="143"/>
      <c r="G9" s="143"/>
      <c r="H9" s="143"/>
    </row>
    <row r="10" spans="2:11" s="263" customFormat="1" ht="20.100000000000001" customHeight="1">
      <c r="B10" s="258">
        <v>12010101</v>
      </c>
      <c r="C10" s="143"/>
      <c r="D10" s="262" t="s">
        <v>759</v>
      </c>
      <c r="E10" s="264">
        <f>4151774261.97+41632087.53</f>
        <v>4193406349.5</v>
      </c>
      <c r="F10" s="264">
        <v>3980198948.48</v>
      </c>
      <c r="G10" s="264">
        <v>3780198948.48</v>
      </c>
      <c r="H10" s="264">
        <f t="shared" ref="H10:H16" si="0">F10-E10</f>
        <v>-213207401.01999998</v>
      </c>
    </row>
    <row r="11" spans="2:11" s="265" customFormat="1" ht="20.100000000000001" customHeight="1">
      <c r="B11" s="258">
        <v>12010112</v>
      </c>
      <c r="C11" s="143"/>
      <c r="D11" s="262" t="s">
        <v>760</v>
      </c>
      <c r="E11" s="264">
        <v>163583025.97</v>
      </c>
      <c r="F11" s="264">
        <v>350000000</v>
      </c>
      <c r="G11" s="264">
        <v>350000000</v>
      </c>
      <c r="H11" s="264">
        <f t="shared" si="0"/>
        <v>186416974.03</v>
      </c>
    </row>
    <row r="12" spans="2:11" s="265" customFormat="1" ht="20.100000000000001" customHeight="1">
      <c r="B12" s="258">
        <v>12010106</v>
      </c>
      <c r="C12" s="143"/>
      <c r="D12" s="262" t="s">
        <v>761</v>
      </c>
      <c r="E12" s="264">
        <f>21941922.74</f>
        <v>21941922.739999998</v>
      </c>
      <c r="F12" s="264">
        <v>110217012.06999999</v>
      </c>
      <c r="G12" s="264">
        <v>110217012.06999999</v>
      </c>
      <c r="H12" s="264">
        <f t="shared" si="0"/>
        <v>88275089.329999998</v>
      </c>
    </row>
    <row r="13" spans="2:11" s="265" customFormat="1" ht="20.100000000000001" customHeight="1">
      <c r="B13" s="258">
        <v>12010106</v>
      </c>
      <c r="C13" s="143"/>
      <c r="D13" s="262" t="s">
        <v>762</v>
      </c>
      <c r="E13" s="264">
        <v>79337887.670000002</v>
      </c>
      <c r="F13" s="264">
        <v>0</v>
      </c>
      <c r="G13" s="264">
        <v>0</v>
      </c>
      <c r="H13" s="264">
        <f t="shared" si="0"/>
        <v>-79337887.670000002</v>
      </c>
    </row>
    <row r="14" spans="2:11" s="265" customFormat="1" ht="20.100000000000001" customHeight="1">
      <c r="B14" s="258">
        <v>12010107</v>
      </c>
      <c r="C14" s="143"/>
      <c r="D14" s="262" t="s">
        <v>763</v>
      </c>
      <c r="E14" s="264">
        <v>166803.79999999999</v>
      </c>
      <c r="F14" s="264">
        <v>150000</v>
      </c>
      <c r="G14" s="264">
        <v>150000</v>
      </c>
      <c r="H14" s="264">
        <f t="shared" si="0"/>
        <v>-16803.799999999988</v>
      </c>
    </row>
    <row r="15" spans="2:11" s="265" customFormat="1" ht="20.100000000000001" customHeight="1">
      <c r="B15" s="258">
        <v>12010110</v>
      </c>
      <c r="C15" s="143"/>
      <c r="D15" s="262" t="s">
        <v>764</v>
      </c>
      <c r="E15" s="264">
        <v>261827810.78</v>
      </c>
      <c r="F15" s="264">
        <v>321336926.38</v>
      </c>
      <c r="G15" s="264">
        <v>321336926.38</v>
      </c>
      <c r="H15" s="264">
        <f t="shared" si="0"/>
        <v>59509115.599999994</v>
      </c>
    </row>
    <row r="16" spans="2:11" s="265" customFormat="1" ht="20.100000000000001" customHeight="1">
      <c r="B16" s="258"/>
      <c r="C16" s="143"/>
      <c r="D16" s="262" t="s">
        <v>775</v>
      </c>
      <c r="E16" s="264">
        <v>79582914.859999999</v>
      </c>
      <c r="F16" s="264"/>
      <c r="G16" s="264">
        <v>63087067.280000001</v>
      </c>
      <c r="H16" s="264">
        <f t="shared" si="0"/>
        <v>-79582914.859999999</v>
      </c>
    </row>
    <row r="17" spans="2:10" s="265" customFormat="1" ht="20.100000000000001" customHeight="1">
      <c r="B17" s="258"/>
      <c r="C17" s="143"/>
      <c r="D17" s="259" t="s">
        <v>804</v>
      </c>
      <c r="E17" s="266">
        <f>SUM(E10:E16)</f>
        <v>4799846715.3199997</v>
      </c>
      <c r="F17" s="266">
        <f>SUM(F10:F16)</f>
        <v>4761902886.9299994</v>
      </c>
      <c r="G17" s="266"/>
      <c r="H17" s="266">
        <f>SUM(H10:H16)</f>
        <v>-37943828.389999986</v>
      </c>
    </row>
    <row r="18" spans="2:10" s="142" customFormat="1" ht="20.100000000000001" customHeight="1">
      <c r="B18" s="261">
        <v>1202</v>
      </c>
      <c r="C18" s="143"/>
      <c r="D18" s="259" t="s">
        <v>765</v>
      </c>
      <c r="E18" s="264"/>
      <c r="F18" s="264"/>
      <c r="G18" s="264"/>
      <c r="H18" s="264"/>
    </row>
    <row r="19" spans="2:10" s="142" customFormat="1" ht="20.100000000000001" customHeight="1">
      <c r="B19" s="261">
        <v>120204</v>
      </c>
      <c r="C19" s="143">
        <v>402</v>
      </c>
      <c r="D19" s="262" t="s">
        <v>766</v>
      </c>
      <c r="E19" s="264">
        <f>'NON TAX IGR'!E73</f>
        <v>1045264627.02</v>
      </c>
      <c r="F19" s="264">
        <f>'NON TAX IGR'!F73</f>
        <v>1951632823.8199999</v>
      </c>
      <c r="G19" s="264"/>
      <c r="H19" s="264">
        <f t="shared" ref="H19:H27" si="1">F19-E19</f>
        <v>906368196.79999995</v>
      </c>
    </row>
    <row r="20" spans="2:10" s="142" customFormat="1" ht="20.100000000000001" customHeight="1">
      <c r="B20" s="261">
        <v>120201</v>
      </c>
      <c r="C20" s="143">
        <v>403</v>
      </c>
      <c r="D20" s="262" t="s">
        <v>767</v>
      </c>
      <c r="E20" s="264">
        <f>'NON TAX IGR'!E81</f>
        <v>158264674.81</v>
      </c>
      <c r="F20" s="264">
        <f>'NON TAX IGR'!F81</f>
        <v>152267233.59999999</v>
      </c>
      <c r="G20" s="264"/>
      <c r="H20" s="264">
        <f t="shared" si="1"/>
        <v>-5997441.2100000083</v>
      </c>
    </row>
    <row r="21" spans="2:10" s="142" customFormat="1" ht="20.100000000000001" customHeight="1">
      <c r="B21" s="261">
        <v>120207</v>
      </c>
      <c r="C21" s="143">
        <v>404</v>
      </c>
      <c r="D21" s="262" t="s">
        <v>768</v>
      </c>
      <c r="E21" s="264">
        <f>'NON TAX IGR'!E115</f>
        <v>65996569.750000007</v>
      </c>
      <c r="F21" s="264">
        <f>'NON TAX IGR'!F115</f>
        <v>170266612.77999997</v>
      </c>
      <c r="G21" s="264"/>
      <c r="H21" s="264">
        <f t="shared" si="1"/>
        <v>104270043.02999997</v>
      </c>
    </row>
    <row r="22" spans="2:10" s="142" customFormat="1" ht="20.100000000000001" customHeight="1">
      <c r="B22" s="261">
        <v>120208</v>
      </c>
      <c r="C22" s="143">
        <v>405</v>
      </c>
      <c r="D22" s="262" t="s">
        <v>769</v>
      </c>
      <c r="E22" s="264">
        <f>'NON TAX IGR'!E124</f>
        <v>113825905.04000001</v>
      </c>
      <c r="F22" s="264">
        <f>'NON TAX IGR'!F124</f>
        <v>23483809.670000002</v>
      </c>
      <c r="G22" s="264"/>
      <c r="H22" s="264">
        <f t="shared" si="1"/>
        <v>-90342095.370000005</v>
      </c>
    </row>
    <row r="23" spans="2:10" s="142" customFormat="1" ht="20.100000000000001" customHeight="1">
      <c r="B23" s="261">
        <v>120211</v>
      </c>
      <c r="C23" s="143">
        <v>406</v>
      </c>
      <c r="D23" s="262" t="s">
        <v>770</v>
      </c>
      <c r="E23" s="264">
        <f>'NON TAX IGR'!E131</f>
        <v>57704169.57</v>
      </c>
      <c r="F23" s="264">
        <f>'NON TAX IGR'!F131</f>
        <v>73087067.280000001</v>
      </c>
      <c r="G23" s="264"/>
      <c r="H23" s="264">
        <f t="shared" si="1"/>
        <v>15382897.710000001</v>
      </c>
    </row>
    <row r="24" spans="2:10" s="142" customFormat="1" ht="20.100000000000001" customHeight="1">
      <c r="B24" s="261">
        <v>120213</v>
      </c>
      <c r="C24" s="143">
        <v>407</v>
      </c>
      <c r="D24" s="262" t="s">
        <v>771</v>
      </c>
      <c r="E24" s="264">
        <v>0</v>
      </c>
      <c r="F24" s="264">
        <v>0</v>
      </c>
      <c r="G24" s="264"/>
      <c r="H24" s="264">
        <f t="shared" si="1"/>
        <v>0</v>
      </c>
    </row>
    <row r="25" spans="2:10" s="142" customFormat="1" ht="20.100000000000001" customHeight="1">
      <c r="B25" s="261">
        <v>120212</v>
      </c>
      <c r="C25" s="143">
        <v>408</v>
      </c>
      <c r="D25" s="262" t="s">
        <v>805</v>
      </c>
      <c r="E25" s="264">
        <f>'NON TAX IGR'!E138</f>
        <v>1297547.98</v>
      </c>
      <c r="F25" s="264">
        <f>'NON TAX IGR'!F138</f>
        <v>2588501.2999999998</v>
      </c>
      <c r="G25" s="264"/>
      <c r="H25" s="264">
        <f t="shared" si="1"/>
        <v>1290953.3199999998</v>
      </c>
      <c r="J25" s="213"/>
    </row>
    <row r="26" spans="2:10" s="142" customFormat="1" ht="20.100000000000001" customHeight="1">
      <c r="B26" s="261">
        <v>120206</v>
      </c>
      <c r="C26" s="143"/>
      <c r="D26" s="262" t="s">
        <v>772</v>
      </c>
      <c r="E26" s="264">
        <v>0</v>
      </c>
      <c r="F26" s="264">
        <v>0</v>
      </c>
      <c r="G26" s="264"/>
      <c r="H26" s="264">
        <f t="shared" si="1"/>
        <v>0</v>
      </c>
    </row>
    <row r="27" spans="2:10" s="142" customFormat="1" ht="20.100000000000001" customHeight="1">
      <c r="B27" s="261"/>
      <c r="C27" s="143">
        <v>409</v>
      </c>
      <c r="D27" s="262" t="s">
        <v>856</v>
      </c>
      <c r="E27" s="264">
        <f>'NON TAX IGR'!E155</f>
        <v>5706954648.1800003</v>
      </c>
      <c r="F27" s="264">
        <f>'NON TAX IGR'!F155</f>
        <v>5949128966.25</v>
      </c>
      <c r="G27" s="264"/>
      <c r="H27" s="264">
        <f t="shared" si="1"/>
        <v>242174318.06999969</v>
      </c>
    </row>
    <row r="28" spans="2:10" s="142" customFormat="1" ht="20.100000000000001" customHeight="1">
      <c r="B28" s="261"/>
      <c r="C28" s="143"/>
      <c r="D28" s="259" t="s">
        <v>806</v>
      </c>
      <c r="E28" s="266">
        <f>SUM(E19:E27)</f>
        <v>7149308142.3500004</v>
      </c>
      <c r="F28" s="266">
        <f>SUM(F19:F27)</f>
        <v>8322455014.7000008</v>
      </c>
      <c r="G28" s="266"/>
      <c r="H28" s="266">
        <f>SUM(H19:H27)</f>
        <v>1173146872.3499997</v>
      </c>
    </row>
    <row r="29" spans="2:10" s="142" customFormat="1" ht="20.100000000000001" customHeight="1">
      <c r="B29" s="261"/>
      <c r="C29" s="143"/>
      <c r="D29" s="259" t="s">
        <v>773</v>
      </c>
      <c r="E29" s="266">
        <f>E28+E17</f>
        <v>11949154857.67</v>
      </c>
      <c r="F29" s="266">
        <f>F28+F17</f>
        <v>13084357901.630001</v>
      </c>
      <c r="G29" s="266"/>
      <c r="H29" s="266">
        <f>H28+H17</f>
        <v>1135203043.9599996</v>
      </c>
    </row>
    <row r="30" spans="2:10" s="142" customFormat="1">
      <c r="B30" s="267"/>
      <c r="C30" s="170"/>
      <c r="D30" s="268"/>
      <c r="E30" s="170"/>
      <c r="F30" s="170"/>
      <c r="G30" s="170"/>
      <c r="H30" s="170"/>
    </row>
    <row r="34" spans="5:5">
      <c r="E34" s="15" t="s">
        <v>1948</v>
      </c>
    </row>
  </sheetData>
  <mergeCells count="4">
    <mergeCell ref="B2:H2"/>
    <mergeCell ref="B3:H3"/>
    <mergeCell ref="B4:H4"/>
    <mergeCell ref="B1:H1"/>
  </mergeCells>
  <pageMargins left="0.5" right="0.5" top="0.75" bottom="0.5" header="0.3" footer="0.5"/>
  <pageSetup paperSize="9" firstPageNumber="86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6"/>
  <sheetViews>
    <sheetView topLeftCell="A4" workbookViewId="0">
      <selection activeCell="C14" sqref="C14"/>
    </sheetView>
  </sheetViews>
  <sheetFormatPr defaultRowHeight="15"/>
  <cols>
    <col min="1" max="1" width="5.140625" style="142" customWidth="1"/>
    <col min="2" max="2" width="14.85546875" style="191" customWidth="1"/>
    <col min="3" max="3" width="42.140625" style="285" customWidth="1"/>
    <col min="4" max="4" width="13.5703125" style="286" customWidth="1"/>
    <col min="5" max="5" width="18.5703125" style="281" customWidth="1"/>
    <col min="6" max="6" width="18.42578125" style="281" customWidth="1"/>
    <col min="7" max="7" width="19.42578125" style="191" customWidth="1"/>
    <col min="8" max="8" width="9.140625" style="142"/>
    <col min="9" max="9" width="16.85546875" bestFit="1" customWidth="1"/>
  </cols>
  <sheetData>
    <row r="1" spans="1:11" s="101" customFormat="1" ht="21.95" hidden="1" customHeight="1">
      <c r="A1" s="599" t="s">
        <v>0</v>
      </c>
      <c r="B1" s="599"/>
      <c r="C1" s="599"/>
      <c r="D1" s="599"/>
      <c r="E1" s="599"/>
      <c r="F1" s="599"/>
      <c r="G1" s="599"/>
      <c r="H1" s="269"/>
      <c r="I1" s="104"/>
      <c r="J1" s="104"/>
      <c r="K1" s="104"/>
    </row>
    <row r="2" spans="1:11" s="101" customFormat="1" ht="21.95" hidden="1" customHeight="1">
      <c r="A2" s="600" t="s">
        <v>1571</v>
      </c>
      <c r="B2" s="600"/>
      <c r="C2" s="600"/>
      <c r="D2" s="600"/>
      <c r="E2" s="600"/>
      <c r="F2" s="600"/>
      <c r="G2" s="600"/>
      <c r="H2" s="270"/>
      <c r="I2" s="105"/>
      <c r="J2" s="105"/>
      <c r="K2" s="105"/>
    </row>
    <row r="3" spans="1:11" s="101" customFormat="1" ht="21.95" hidden="1" customHeight="1">
      <c r="A3" s="600" t="s">
        <v>336</v>
      </c>
      <c r="B3" s="600"/>
      <c r="C3" s="600"/>
      <c r="D3" s="600"/>
      <c r="E3" s="600"/>
      <c r="F3" s="600"/>
      <c r="G3" s="600"/>
      <c r="H3" s="270"/>
      <c r="I3" s="105"/>
      <c r="J3" s="105"/>
      <c r="K3" s="105"/>
    </row>
    <row r="4" spans="1:11" s="101" customFormat="1" ht="21.95" customHeight="1">
      <c r="A4" s="599" t="s">
        <v>1463</v>
      </c>
      <c r="B4" s="599"/>
      <c r="C4" s="599"/>
      <c r="D4" s="599"/>
      <c r="E4" s="599"/>
      <c r="F4" s="599"/>
      <c r="G4" s="599"/>
      <c r="H4" s="269"/>
      <c r="I4" s="104"/>
      <c r="J4" s="104"/>
      <c r="K4" s="104"/>
    </row>
    <row r="5" spans="1:11" ht="31.5" customHeight="1">
      <c r="B5" s="172" t="s">
        <v>88</v>
      </c>
      <c r="C5" s="172" t="s">
        <v>830</v>
      </c>
      <c r="D5" s="255" t="s">
        <v>848</v>
      </c>
      <c r="E5" s="256" t="s">
        <v>691</v>
      </c>
      <c r="F5" s="256" t="s">
        <v>692</v>
      </c>
      <c r="G5" s="217" t="s">
        <v>93</v>
      </c>
    </row>
    <row r="6" spans="1:11" ht="23.25" customHeight="1">
      <c r="B6" s="172"/>
      <c r="C6" s="271"/>
      <c r="D6" s="260"/>
      <c r="E6" s="180" t="s">
        <v>1458</v>
      </c>
      <c r="F6" s="182" t="s">
        <v>1458</v>
      </c>
      <c r="G6" s="182" t="s">
        <v>1458</v>
      </c>
    </row>
    <row r="7" spans="1:11" ht="23.1" customHeight="1">
      <c r="B7" s="172"/>
      <c r="C7" s="271" t="s">
        <v>849</v>
      </c>
      <c r="D7" s="260"/>
      <c r="E7" s="272"/>
      <c r="F7" s="272"/>
      <c r="G7" s="182"/>
    </row>
    <row r="8" spans="1:11" ht="23.1" customHeight="1">
      <c r="B8" s="143" t="s">
        <v>338</v>
      </c>
      <c r="C8" s="273" t="s">
        <v>95</v>
      </c>
      <c r="D8" s="274">
        <v>70111</v>
      </c>
      <c r="E8" s="264"/>
      <c r="F8" s="264">
        <v>20385012.93</v>
      </c>
      <c r="G8" s="275">
        <f>F8-E8</f>
        <v>20385012.93</v>
      </c>
    </row>
    <row r="9" spans="1:11" ht="23.1" customHeight="1">
      <c r="B9" s="143" t="s">
        <v>102</v>
      </c>
      <c r="C9" s="273" t="s">
        <v>104</v>
      </c>
      <c r="D9" s="274">
        <v>70111</v>
      </c>
      <c r="E9" s="264"/>
      <c r="F9" s="264"/>
      <c r="G9" s="275">
        <f t="shared" ref="G9:G72" si="0">F9-E9</f>
        <v>0</v>
      </c>
    </row>
    <row r="10" spans="1:11" ht="23.1" customHeight="1">
      <c r="B10" s="143" t="s">
        <v>831</v>
      </c>
      <c r="C10" s="273" t="s">
        <v>832</v>
      </c>
      <c r="D10" s="274">
        <v>70111</v>
      </c>
      <c r="E10" s="264">
        <v>2000</v>
      </c>
      <c r="F10" s="264"/>
      <c r="G10" s="275">
        <f t="shared" si="0"/>
        <v>-2000</v>
      </c>
    </row>
    <row r="11" spans="1:11" ht="23.1" customHeight="1">
      <c r="B11" s="276" t="s">
        <v>125</v>
      </c>
      <c r="C11" s="277" t="s">
        <v>127</v>
      </c>
      <c r="D11" s="46">
        <v>70111</v>
      </c>
      <c r="E11" s="264"/>
      <c r="F11" s="13">
        <v>1049301.76</v>
      </c>
      <c r="G11" s="275">
        <f t="shared" si="0"/>
        <v>1049301.76</v>
      </c>
    </row>
    <row r="12" spans="1:11" ht="23.1" customHeight="1">
      <c r="B12" s="276" t="s">
        <v>134</v>
      </c>
      <c r="C12" s="277" t="s">
        <v>136</v>
      </c>
      <c r="D12" s="46">
        <v>70111</v>
      </c>
      <c r="E12" s="22"/>
      <c r="F12" s="13"/>
      <c r="G12" s="275">
        <f t="shared" si="0"/>
        <v>0</v>
      </c>
    </row>
    <row r="13" spans="1:11" ht="23.1" customHeight="1">
      <c r="B13" s="276" t="s">
        <v>409</v>
      </c>
      <c r="C13" s="277" t="s">
        <v>411</v>
      </c>
      <c r="D13" s="46">
        <v>70111</v>
      </c>
      <c r="E13" s="22"/>
      <c r="F13" s="13">
        <v>417700.26</v>
      </c>
      <c r="G13" s="275">
        <f t="shared" si="0"/>
        <v>417700.26</v>
      </c>
    </row>
    <row r="14" spans="1:11" ht="23.1" customHeight="1">
      <c r="B14" s="276" t="s">
        <v>353</v>
      </c>
      <c r="C14" s="277" t="s">
        <v>355</v>
      </c>
      <c r="D14" s="46">
        <v>70112</v>
      </c>
      <c r="E14" s="22"/>
      <c r="F14" s="13"/>
      <c r="G14" s="275">
        <f t="shared" si="0"/>
        <v>0</v>
      </c>
    </row>
    <row r="15" spans="1:11" ht="23.1" customHeight="1">
      <c r="B15" s="143" t="s">
        <v>146</v>
      </c>
      <c r="C15" s="273" t="s">
        <v>148</v>
      </c>
      <c r="D15" s="274">
        <v>70112</v>
      </c>
      <c r="E15" s="264">
        <v>220000</v>
      </c>
      <c r="F15" s="278">
        <v>727239.83</v>
      </c>
      <c r="G15" s="275">
        <f t="shared" si="0"/>
        <v>507239.82999999996</v>
      </c>
    </row>
    <row r="16" spans="1:11" s="4" customFormat="1" ht="23.1" customHeight="1">
      <c r="A16" s="204"/>
      <c r="B16" s="143" t="s">
        <v>448</v>
      </c>
      <c r="C16" s="273" t="s">
        <v>449</v>
      </c>
      <c r="D16" s="279">
        <v>70112</v>
      </c>
      <c r="E16" s="280"/>
      <c r="F16" s="280">
        <v>6610601.0999999996</v>
      </c>
      <c r="G16" s="275">
        <f t="shared" si="0"/>
        <v>6610601.0999999996</v>
      </c>
      <c r="H16" s="204"/>
    </row>
    <row r="17" spans="1:8" s="4" customFormat="1" ht="23.1" customHeight="1">
      <c r="A17" s="204"/>
      <c r="B17" s="143" t="s">
        <v>174</v>
      </c>
      <c r="C17" s="273" t="s">
        <v>176</v>
      </c>
      <c r="D17" s="274">
        <v>70112</v>
      </c>
      <c r="E17" s="264">
        <v>35000</v>
      </c>
      <c r="F17" s="264">
        <v>104425.06</v>
      </c>
      <c r="G17" s="275">
        <f t="shared" si="0"/>
        <v>69425.06</v>
      </c>
      <c r="H17" s="204"/>
    </row>
    <row r="18" spans="1:8" s="4" customFormat="1" ht="23.1" customHeight="1">
      <c r="A18" s="204"/>
      <c r="B18" s="276" t="s">
        <v>501</v>
      </c>
      <c r="C18" s="277" t="s">
        <v>503</v>
      </c>
      <c r="D18" s="46">
        <v>70112</v>
      </c>
      <c r="E18" s="22">
        <f>16913665.62+82215447.1+7501000</f>
        <v>106630112.72</v>
      </c>
      <c r="F18" s="13">
        <v>1000000</v>
      </c>
      <c r="G18" s="275">
        <f t="shared" si="0"/>
        <v>-105630112.72</v>
      </c>
      <c r="H18" s="204"/>
    </row>
    <row r="19" spans="1:8" s="4" customFormat="1" ht="23.1" customHeight="1">
      <c r="A19" s="204"/>
      <c r="B19" s="276" t="s">
        <v>177</v>
      </c>
      <c r="C19" s="277" t="s">
        <v>179</v>
      </c>
      <c r="D19" s="46">
        <v>70112</v>
      </c>
      <c r="E19" s="22">
        <v>1750000</v>
      </c>
      <c r="F19" s="13">
        <v>25000000</v>
      </c>
      <c r="G19" s="275">
        <f t="shared" si="0"/>
        <v>23250000</v>
      </c>
      <c r="H19" s="204"/>
    </row>
    <row r="20" spans="1:8" s="4" customFormat="1" ht="23.1" customHeight="1">
      <c r="A20" s="204"/>
      <c r="B20" s="276" t="s">
        <v>183</v>
      </c>
      <c r="C20" s="277" t="s">
        <v>185</v>
      </c>
      <c r="D20" s="46">
        <v>70112</v>
      </c>
      <c r="E20" s="22">
        <v>901000</v>
      </c>
      <c r="F20" s="13">
        <v>18887431.699999999</v>
      </c>
      <c r="G20" s="275">
        <f t="shared" si="0"/>
        <v>17986431.699999999</v>
      </c>
      <c r="H20" s="204"/>
    </row>
    <row r="21" spans="1:8" s="4" customFormat="1" ht="23.1" customHeight="1">
      <c r="A21" s="204"/>
      <c r="B21" s="276" t="s">
        <v>131</v>
      </c>
      <c r="C21" s="277" t="s">
        <v>133</v>
      </c>
      <c r="D21" s="46">
        <v>70122</v>
      </c>
      <c r="E21" s="22"/>
      <c r="F21" s="13"/>
      <c r="G21" s="275">
        <f t="shared" si="0"/>
        <v>0</v>
      </c>
      <c r="H21" s="204"/>
    </row>
    <row r="22" spans="1:8" s="4" customFormat="1" ht="23.1" customHeight="1">
      <c r="A22" s="204"/>
      <c r="B22" s="143" t="s">
        <v>386</v>
      </c>
      <c r="C22" s="273" t="s">
        <v>1586</v>
      </c>
      <c r="D22" s="274">
        <v>70131</v>
      </c>
      <c r="E22" s="264">
        <v>1165300</v>
      </c>
      <c r="F22" s="264">
        <v>2610626.62</v>
      </c>
      <c r="G22" s="275">
        <f t="shared" si="0"/>
        <v>1445326.62</v>
      </c>
      <c r="H22" s="204"/>
    </row>
    <row r="23" spans="1:8" s="4" customFormat="1" ht="23.1" customHeight="1">
      <c r="A23" s="204"/>
      <c r="B23" s="143" t="s">
        <v>143</v>
      </c>
      <c r="C23" s="273" t="s">
        <v>145</v>
      </c>
      <c r="D23" s="274">
        <v>70131</v>
      </c>
      <c r="E23" s="264">
        <v>6922400</v>
      </c>
      <c r="F23" s="264">
        <v>8746400</v>
      </c>
      <c r="G23" s="275">
        <f t="shared" si="0"/>
        <v>1824000</v>
      </c>
      <c r="H23" s="204"/>
    </row>
    <row r="24" spans="1:8" s="4" customFormat="1" ht="23.1" customHeight="1">
      <c r="A24" s="204"/>
      <c r="B24" s="143" t="s">
        <v>151</v>
      </c>
      <c r="C24" s="273" t="s">
        <v>153</v>
      </c>
      <c r="D24" s="274">
        <v>70131</v>
      </c>
      <c r="E24" s="264">
        <v>2329750</v>
      </c>
      <c r="F24" s="264">
        <v>716375.97</v>
      </c>
      <c r="G24" s="275">
        <f t="shared" si="0"/>
        <v>-1613374.03</v>
      </c>
      <c r="H24" s="204"/>
    </row>
    <row r="25" spans="1:8" s="4" customFormat="1" ht="23.1" customHeight="1">
      <c r="A25" s="204"/>
      <c r="B25" s="143" t="s">
        <v>833</v>
      </c>
      <c r="C25" s="273" t="s">
        <v>670</v>
      </c>
      <c r="D25" s="274">
        <v>70131</v>
      </c>
      <c r="E25" s="264"/>
      <c r="F25" s="264"/>
      <c r="G25" s="275">
        <f t="shared" si="0"/>
        <v>0</v>
      </c>
      <c r="H25" s="204"/>
    </row>
    <row r="26" spans="1:8" s="4" customFormat="1" ht="23.1" customHeight="1">
      <c r="A26" s="204"/>
      <c r="B26" s="143" t="s">
        <v>567</v>
      </c>
      <c r="C26" s="273" t="s">
        <v>801</v>
      </c>
      <c r="D26" s="274">
        <v>70132</v>
      </c>
      <c r="E26" s="264"/>
      <c r="F26" s="264">
        <v>9961072.6999999993</v>
      </c>
      <c r="G26" s="275">
        <f t="shared" si="0"/>
        <v>9961072.6999999993</v>
      </c>
      <c r="H26" s="204"/>
    </row>
    <row r="27" spans="1:8" s="4" customFormat="1" ht="23.1" customHeight="1">
      <c r="A27" s="204"/>
      <c r="B27" s="143" t="s">
        <v>157</v>
      </c>
      <c r="C27" s="273" t="s">
        <v>159</v>
      </c>
      <c r="D27" s="274">
        <v>70160</v>
      </c>
      <c r="E27" s="264">
        <v>200</v>
      </c>
      <c r="F27" s="264"/>
      <c r="G27" s="275">
        <f t="shared" si="0"/>
        <v>-200</v>
      </c>
      <c r="H27" s="204"/>
    </row>
    <row r="28" spans="1:8" s="4" customFormat="1" ht="23.1" customHeight="1">
      <c r="A28" s="204"/>
      <c r="B28" s="143" t="s">
        <v>244</v>
      </c>
      <c r="C28" s="273" t="s">
        <v>246</v>
      </c>
      <c r="D28" s="274">
        <v>70160</v>
      </c>
      <c r="E28" s="264">
        <f>237950-26000</f>
        <v>211950</v>
      </c>
      <c r="F28" s="264">
        <v>163925387.72</v>
      </c>
      <c r="G28" s="275">
        <f t="shared" si="0"/>
        <v>163713437.72</v>
      </c>
      <c r="H28" s="204"/>
    </row>
    <row r="29" spans="1:8" s="4" customFormat="1" ht="23.1" customHeight="1">
      <c r="A29" s="204"/>
      <c r="B29" s="143" t="s">
        <v>665</v>
      </c>
      <c r="C29" s="273" t="s">
        <v>667</v>
      </c>
      <c r="D29" s="274">
        <v>70330</v>
      </c>
      <c r="E29" s="264"/>
      <c r="F29" s="264">
        <v>250000</v>
      </c>
      <c r="G29" s="275">
        <f t="shared" si="0"/>
        <v>250000</v>
      </c>
      <c r="H29" s="204"/>
    </row>
    <row r="30" spans="1:8" s="4" customFormat="1" ht="23.1" customHeight="1">
      <c r="A30" s="204"/>
      <c r="B30" s="143" t="s">
        <v>186</v>
      </c>
      <c r="C30" s="273" t="s">
        <v>188</v>
      </c>
      <c r="D30" s="274">
        <v>70411</v>
      </c>
      <c r="E30" s="264">
        <f>250000+9174263.79+4000000</f>
        <v>13424263.789999999</v>
      </c>
      <c r="F30" s="264">
        <v>22500000</v>
      </c>
      <c r="G30" s="275">
        <f t="shared" si="0"/>
        <v>9075736.2100000009</v>
      </c>
      <c r="H30" s="204"/>
    </row>
    <row r="31" spans="1:8" ht="23.1" customHeight="1">
      <c r="B31" s="143" t="s">
        <v>526</v>
      </c>
      <c r="C31" s="273" t="s">
        <v>528</v>
      </c>
      <c r="D31" s="274">
        <v>70411</v>
      </c>
      <c r="E31" s="264"/>
      <c r="F31" s="264"/>
      <c r="G31" s="275">
        <f t="shared" si="0"/>
        <v>0</v>
      </c>
    </row>
    <row r="32" spans="1:8" ht="23.1" customHeight="1">
      <c r="B32" s="143" t="s">
        <v>529</v>
      </c>
      <c r="C32" s="273" t="s">
        <v>531</v>
      </c>
      <c r="D32" s="274">
        <v>70411</v>
      </c>
      <c r="E32" s="264">
        <v>20000</v>
      </c>
      <c r="F32" s="264">
        <v>3147905.25</v>
      </c>
      <c r="G32" s="275">
        <f t="shared" si="0"/>
        <v>3127905.25</v>
      </c>
    </row>
    <row r="33" spans="2:7" ht="23.1" customHeight="1">
      <c r="B33" s="143" t="s">
        <v>532</v>
      </c>
      <c r="C33" s="273" t="s">
        <v>534</v>
      </c>
      <c r="D33" s="274">
        <v>70412</v>
      </c>
      <c r="E33" s="264"/>
      <c r="F33" s="264">
        <v>835400.52</v>
      </c>
      <c r="G33" s="275">
        <f t="shared" si="0"/>
        <v>835400.52</v>
      </c>
    </row>
    <row r="34" spans="2:7" ht="23.1" customHeight="1">
      <c r="B34" s="143" t="s">
        <v>162</v>
      </c>
      <c r="C34" s="273" t="s">
        <v>164</v>
      </c>
      <c r="D34" s="274">
        <v>70421</v>
      </c>
      <c r="E34" s="264">
        <f>20167700+3107500+550000+250000+5000+500+176200+2500+20500+800000</f>
        <v>25079900</v>
      </c>
      <c r="F34" s="264">
        <v>28790000</v>
      </c>
      <c r="G34" s="275">
        <f t="shared" si="0"/>
        <v>3710100</v>
      </c>
    </row>
    <row r="35" spans="2:7" ht="23.1" customHeight="1">
      <c r="B35" s="143" t="s">
        <v>471</v>
      </c>
      <c r="C35" s="273" t="s">
        <v>473</v>
      </c>
      <c r="D35" s="274">
        <v>70421</v>
      </c>
      <c r="E35" s="264"/>
      <c r="G35" s="275">
        <f t="shared" si="0"/>
        <v>0</v>
      </c>
    </row>
    <row r="36" spans="2:7" ht="23.1" customHeight="1">
      <c r="B36" s="143" t="s">
        <v>474</v>
      </c>
      <c r="C36" s="273" t="s">
        <v>476</v>
      </c>
      <c r="D36" s="274">
        <v>70421</v>
      </c>
      <c r="E36" s="264">
        <v>2500950</v>
      </c>
      <c r="F36" s="264">
        <v>15663759.699999999</v>
      </c>
      <c r="G36" s="275">
        <f t="shared" si="0"/>
        <v>13162809.699999999</v>
      </c>
    </row>
    <row r="37" spans="2:7" ht="23.1" customHeight="1">
      <c r="B37" s="143" t="s">
        <v>483</v>
      </c>
      <c r="C37" s="273" t="s">
        <v>485</v>
      </c>
      <c r="D37" s="274">
        <v>70422</v>
      </c>
      <c r="E37" s="264">
        <v>514000</v>
      </c>
      <c r="F37" s="264">
        <v>27000000</v>
      </c>
      <c r="G37" s="275">
        <f t="shared" si="0"/>
        <v>26486000</v>
      </c>
    </row>
    <row r="38" spans="2:7" ht="23.1" customHeight="1">
      <c r="B38" s="143" t="s">
        <v>198</v>
      </c>
      <c r="C38" s="273" t="s">
        <v>200</v>
      </c>
      <c r="D38" s="274">
        <v>70422</v>
      </c>
      <c r="E38" s="264">
        <v>12150</v>
      </c>
      <c r="F38" s="264">
        <v>31327519.399999999</v>
      </c>
      <c r="G38" s="275">
        <f t="shared" si="0"/>
        <v>31315369.399999999</v>
      </c>
    </row>
    <row r="39" spans="2:7" ht="23.1" customHeight="1">
      <c r="B39" s="143" t="s">
        <v>195</v>
      </c>
      <c r="C39" s="273" t="s">
        <v>197</v>
      </c>
      <c r="D39" s="274">
        <v>70435</v>
      </c>
      <c r="E39" s="264"/>
      <c r="F39" s="264">
        <v>322232.34999999998</v>
      </c>
      <c r="G39" s="275">
        <f t="shared" si="0"/>
        <v>322232.34999999998</v>
      </c>
    </row>
    <row r="40" spans="2:7" ht="23.1" customHeight="1">
      <c r="B40" s="143" t="s">
        <v>203</v>
      </c>
      <c r="C40" s="273" t="s">
        <v>205</v>
      </c>
      <c r="D40" s="274">
        <v>70443</v>
      </c>
      <c r="E40" s="264">
        <v>3415000</v>
      </c>
      <c r="F40" s="264">
        <v>20935524.079999998</v>
      </c>
      <c r="G40" s="275">
        <f t="shared" si="0"/>
        <v>17520524.079999998</v>
      </c>
    </row>
    <row r="41" spans="2:7" ht="23.1" customHeight="1">
      <c r="B41" s="143" t="s">
        <v>206</v>
      </c>
      <c r="C41" s="273" t="s">
        <v>208</v>
      </c>
      <c r="D41" s="274">
        <v>70443</v>
      </c>
      <c r="E41" s="264">
        <f>17328975-198900</f>
        <v>17130075</v>
      </c>
      <c r="F41" s="264">
        <v>20163759.699999999</v>
      </c>
      <c r="G41" s="275">
        <f t="shared" si="0"/>
        <v>3033684.6999999993</v>
      </c>
    </row>
    <row r="42" spans="2:7" ht="23.1" customHeight="1">
      <c r="B42" s="143" t="s">
        <v>545</v>
      </c>
      <c r="C42" s="273" t="s">
        <v>547</v>
      </c>
      <c r="D42" s="274">
        <v>70452</v>
      </c>
      <c r="E42" s="264">
        <v>4169000</v>
      </c>
      <c r="F42" s="264">
        <v>5319483.41</v>
      </c>
      <c r="G42" s="275">
        <f t="shared" si="0"/>
        <v>1150483.4100000001</v>
      </c>
    </row>
    <row r="43" spans="2:7" ht="23.1" customHeight="1">
      <c r="B43" s="143" t="s">
        <v>412</v>
      </c>
      <c r="C43" s="273" t="s">
        <v>414</v>
      </c>
      <c r="D43" s="274">
        <v>70460</v>
      </c>
      <c r="E43" s="264">
        <v>70000</v>
      </c>
      <c r="F43" s="264">
        <v>187673.72</v>
      </c>
      <c r="G43" s="275">
        <f t="shared" si="0"/>
        <v>117673.72</v>
      </c>
    </row>
    <row r="44" spans="2:7" ht="23.1" customHeight="1">
      <c r="B44" s="143" t="s">
        <v>140</v>
      </c>
      <c r="C44" s="273" t="s">
        <v>142</v>
      </c>
      <c r="D44" s="274">
        <v>70460</v>
      </c>
      <c r="E44" s="264"/>
      <c r="F44" s="264"/>
      <c r="G44" s="275">
        <f t="shared" si="0"/>
        <v>0</v>
      </c>
    </row>
    <row r="45" spans="2:7" ht="23.1" customHeight="1">
      <c r="B45" s="143" t="s">
        <v>317</v>
      </c>
      <c r="C45" s="273" t="s">
        <v>319</v>
      </c>
      <c r="D45" s="274">
        <v>70510</v>
      </c>
      <c r="E45" s="264">
        <v>1497100</v>
      </c>
      <c r="F45" s="264">
        <v>1421253.23</v>
      </c>
      <c r="G45" s="275">
        <f t="shared" si="0"/>
        <v>-75846.770000000019</v>
      </c>
    </row>
    <row r="46" spans="2:7" ht="23.1" customHeight="1">
      <c r="B46" s="143" t="s">
        <v>311</v>
      </c>
      <c r="C46" s="273" t="s">
        <v>313</v>
      </c>
      <c r="D46" s="274">
        <v>70560</v>
      </c>
      <c r="E46" s="264">
        <v>3271530</v>
      </c>
      <c r="F46" s="264">
        <v>5221253.2300000004</v>
      </c>
      <c r="G46" s="275">
        <f t="shared" si="0"/>
        <v>1949723.2300000004</v>
      </c>
    </row>
    <row r="47" spans="2:7" ht="23.1" customHeight="1">
      <c r="B47" s="143" t="s">
        <v>314</v>
      </c>
      <c r="C47" s="273" t="s">
        <v>316</v>
      </c>
      <c r="D47" s="274">
        <v>70560</v>
      </c>
      <c r="E47" s="264">
        <v>4845000</v>
      </c>
      <c r="F47" s="264">
        <v>7309754.5300000003</v>
      </c>
      <c r="G47" s="275">
        <f t="shared" si="0"/>
        <v>2464754.5300000003</v>
      </c>
    </row>
    <row r="48" spans="2:7" ht="23.1" customHeight="1">
      <c r="B48" s="143" t="s">
        <v>227</v>
      </c>
      <c r="C48" s="273" t="s">
        <v>229</v>
      </c>
      <c r="D48" s="274">
        <v>70610</v>
      </c>
      <c r="E48" s="264">
        <f>62727313.38+437500+29286419.5+590000+790000+135000+56829999.61+48644283+115000+526500+10000+10000+13250000</f>
        <v>213352015.49000001</v>
      </c>
      <c r="F48" s="264">
        <v>478240633.41000003</v>
      </c>
      <c r="G48" s="275">
        <f t="shared" si="0"/>
        <v>264888617.92000002</v>
      </c>
    </row>
    <row r="49" spans="2:7" ht="23.1" customHeight="1">
      <c r="B49" s="143" t="s">
        <v>230</v>
      </c>
      <c r="C49" s="273" t="s">
        <v>232</v>
      </c>
      <c r="D49" s="274">
        <v>70610</v>
      </c>
      <c r="E49" s="264"/>
      <c r="F49" s="264"/>
      <c r="G49" s="275">
        <f t="shared" si="0"/>
        <v>0</v>
      </c>
    </row>
    <row r="50" spans="2:7" ht="23.1" customHeight="1">
      <c r="B50" s="143" t="s">
        <v>233</v>
      </c>
      <c r="C50" s="273" t="s">
        <v>834</v>
      </c>
      <c r="D50" s="274">
        <v>70610</v>
      </c>
      <c r="E50" s="264"/>
      <c r="F50" s="264"/>
      <c r="G50" s="275">
        <f t="shared" si="0"/>
        <v>0</v>
      </c>
    </row>
    <row r="51" spans="2:7" ht="23.1" customHeight="1">
      <c r="B51" s="143" t="s">
        <v>835</v>
      </c>
      <c r="C51" s="273" t="s">
        <v>836</v>
      </c>
      <c r="D51" s="274">
        <v>70610</v>
      </c>
      <c r="E51" s="264"/>
      <c r="F51" s="264"/>
      <c r="G51" s="275">
        <f t="shared" si="0"/>
        <v>0</v>
      </c>
    </row>
    <row r="52" spans="2:7" ht="23.1" customHeight="1">
      <c r="B52" s="143" t="s">
        <v>236</v>
      </c>
      <c r="C52" s="273" t="s">
        <v>582</v>
      </c>
      <c r="D52" s="274">
        <v>70620</v>
      </c>
      <c r="E52" s="264"/>
      <c r="F52" s="264">
        <v>1044250.65</v>
      </c>
      <c r="G52" s="275">
        <f t="shared" si="0"/>
        <v>1044250.65</v>
      </c>
    </row>
    <row r="53" spans="2:7" ht="23.1" customHeight="1">
      <c r="B53" s="143" t="s">
        <v>239</v>
      </c>
      <c r="C53" s="273" t="s">
        <v>241</v>
      </c>
      <c r="D53" s="274">
        <v>70620</v>
      </c>
      <c r="E53" s="264">
        <v>5503000</v>
      </c>
      <c r="F53" s="264">
        <v>6265503.8799999999</v>
      </c>
      <c r="G53" s="275">
        <f t="shared" si="0"/>
        <v>762503.87999999989</v>
      </c>
    </row>
    <row r="54" spans="2:7" ht="23.1" customHeight="1">
      <c r="B54" s="143" t="s">
        <v>221</v>
      </c>
      <c r="C54" s="273" t="s">
        <v>223</v>
      </c>
      <c r="D54" s="274">
        <v>70630</v>
      </c>
      <c r="E54" s="264"/>
      <c r="F54" s="264">
        <v>50000</v>
      </c>
      <c r="G54" s="275">
        <f t="shared" si="0"/>
        <v>50000</v>
      </c>
    </row>
    <row r="55" spans="2:7" ht="23.1" customHeight="1">
      <c r="B55" s="143" t="s">
        <v>224</v>
      </c>
      <c r="C55" s="273" t="s">
        <v>226</v>
      </c>
      <c r="D55" s="274">
        <v>70630</v>
      </c>
      <c r="E55" s="264"/>
      <c r="F55" s="264">
        <v>1500000</v>
      </c>
      <c r="G55" s="275">
        <f t="shared" si="0"/>
        <v>1500000</v>
      </c>
    </row>
    <row r="56" spans="2:7" ht="23.1" customHeight="1">
      <c r="B56" s="143" t="s">
        <v>299</v>
      </c>
      <c r="C56" s="273" t="s">
        <v>301</v>
      </c>
      <c r="D56" s="274">
        <v>70721</v>
      </c>
      <c r="E56" s="264">
        <v>2219700</v>
      </c>
      <c r="F56" s="264">
        <v>7831879.8499999996</v>
      </c>
      <c r="G56" s="275">
        <f t="shared" si="0"/>
        <v>5612179.8499999996</v>
      </c>
    </row>
    <row r="57" spans="2:7" ht="23.1" customHeight="1">
      <c r="B57" s="143" t="s">
        <v>305</v>
      </c>
      <c r="C57" s="273" t="s">
        <v>307</v>
      </c>
      <c r="D57" s="274">
        <v>70731</v>
      </c>
      <c r="E57" s="264">
        <v>35291249.600000001</v>
      </c>
      <c r="F57" s="264">
        <v>118127318.94</v>
      </c>
      <c r="G57" s="275">
        <f t="shared" si="0"/>
        <v>82836069.340000004</v>
      </c>
    </row>
    <row r="58" spans="2:7" ht="23.1" customHeight="1">
      <c r="B58" s="143" t="s">
        <v>305</v>
      </c>
      <c r="C58" s="273" t="s">
        <v>1587</v>
      </c>
      <c r="D58" s="274">
        <v>71090</v>
      </c>
      <c r="E58" s="264">
        <v>16200</v>
      </c>
      <c r="F58" s="264"/>
      <c r="G58" s="275">
        <f t="shared" si="0"/>
        <v>-16200</v>
      </c>
    </row>
    <row r="59" spans="2:7" ht="23.1" customHeight="1">
      <c r="B59" s="143" t="s">
        <v>308</v>
      </c>
      <c r="C59" s="273" t="s">
        <v>310</v>
      </c>
      <c r="D59" s="274">
        <v>70734</v>
      </c>
      <c r="E59" s="264"/>
      <c r="F59" s="264"/>
      <c r="G59" s="275">
        <f t="shared" si="0"/>
        <v>0</v>
      </c>
    </row>
    <row r="60" spans="2:7" ht="23.1" customHeight="1">
      <c r="B60" s="143" t="s">
        <v>320</v>
      </c>
      <c r="C60" s="273" t="s">
        <v>322</v>
      </c>
      <c r="D60" s="274">
        <v>70810</v>
      </c>
      <c r="E60" s="264"/>
      <c r="F60" s="264"/>
      <c r="G60" s="275">
        <f t="shared" si="0"/>
        <v>0</v>
      </c>
    </row>
    <row r="61" spans="2:7" ht="23.1" customHeight="1">
      <c r="B61" s="143" t="s">
        <v>550</v>
      </c>
      <c r="C61" s="273" t="s">
        <v>640</v>
      </c>
      <c r="D61" s="274">
        <v>70820</v>
      </c>
      <c r="E61" s="264">
        <f>115000+3000</f>
        <v>118000</v>
      </c>
      <c r="F61" s="264">
        <v>1357525.84</v>
      </c>
      <c r="G61" s="275">
        <f t="shared" si="0"/>
        <v>1239525.8400000001</v>
      </c>
    </row>
    <row r="62" spans="2:7" ht="23.1" customHeight="1">
      <c r="B62" s="143" t="s">
        <v>324</v>
      </c>
      <c r="C62" s="273" t="s">
        <v>1585</v>
      </c>
      <c r="D62" s="274">
        <v>70820</v>
      </c>
      <c r="E62" s="264">
        <v>1272500</v>
      </c>
      <c r="F62" s="264">
        <v>3132751.94</v>
      </c>
      <c r="G62" s="275">
        <f t="shared" si="0"/>
        <v>1860251.94</v>
      </c>
    </row>
    <row r="63" spans="2:7" ht="23.1" customHeight="1">
      <c r="B63" s="143" t="s">
        <v>608</v>
      </c>
      <c r="C63" s="273" t="s">
        <v>610</v>
      </c>
      <c r="D63" s="274">
        <v>70820</v>
      </c>
      <c r="E63" s="264"/>
      <c r="F63" s="264">
        <v>1566375.97</v>
      </c>
      <c r="G63" s="275">
        <f t="shared" si="0"/>
        <v>1566375.97</v>
      </c>
    </row>
    <row r="64" spans="2:7" ht="23.1" customHeight="1">
      <c r="B64" s="143" t="s">
        <v>415</v>
      </c>
      <c r="C64" s="273" t="s">
        <v>417</v>
      </c>
      <c r="D64" s="274">
        <v>70830</v>
      </c>
      <c r="E64" s="264"/>
      <c r="F64" s="264">
        <v>678757.18</v>
      </c>
      <c r="G64" s="275">
        <f t="shared" si="0"/>
        <v>678757.18</v>
      </c>
    </row>
    <row r="65" spans="1:8" ht="23.1" customHeight="1">
      <c r="B65" s="143" t="s">
        <v>271</v>
      </c>
      <c r="C65" s="273" t="s">
        <v>273</v>
      </c>
      <c r="D65" s="274">
        <v>70912</v>
      </c>
      <c r="E65" s="264">
        <v>160000</v>
      </c>
      <c r="F65" s="264">
        <v>5265503.88</v>
      </c>
      <c r="G65" s="275">
        <f t="shared" si="0"/>
        <v>5105503.88</v>
      </c>
    </row>
    <row r="66" spans="1:8" ht="23.1" customHeight="1">
      <c r="B66" s="143" t="s">
        <v>274</v>
      </c>
      <c r="C66" s="273" t="s">
        <v>276</v>
      </c>
      <c r="D66" s="274">
        <v>70960</v>
      </c>
      <c r="E66" s="264"/>
      <c r="F66" s="264">
        <v>36796.300000000003</v>
      </c>
      <c r="G66" s="275">
        <f t="shared" si="0"/>
        <v>36796.300000000003</v>
      </c>
    </row>
    <row r="67" spans="1:8" ht="23.1" customHeight="1">
      <c r="B67" s="143" t="s">
        <v>281</v>
      </c>
      <c r="C67" s="273" t="s">
        <v>283</v>
      </c>
      <c r="D67" s="274">
        <v>70960</v>
      </c>
      <c r="E67" s="264"/>
      <c r="F67" s="264"/>
      <c r="G67" s="275">
        <f t="shared" si="0"/>
        <v>0</v>
      </c>
    </row>
    <row r="68" spans="1:8" ht="23.1" customHeight="1">
      <c r="B68" s="143" t="s">
        <v>284</v>
      </c>
      <c r="C68" s="273" t="s">
        <v>286</v>
      </c>
      <c r="D68" s="274">
        <v>70960</v>
      </c>
      <c r="E68" s="264">
        <v>850000</v>
      </c>
      <c r="F68" s="264">
        <v>3132751.94</v>
      </c>
      <c r="G68" s="275">
        <f t="shared" si="0"/>
        <v>2282751.94</v>
      </c>
    </row>
    <row r="69" spans="1:8" ht="23.1" customHeight="1">
      <c r="B69" s="143" t="s">
        <v>287</v>
      </c>
      <c r="C69" s="273" t="s">
        <v>289</v>
      </c>
      <c r="D69" s="274">
        <v>70960</v>
      </c>
      <c r="E69" s="264"/>
      <c r="F69" s="264">
        <v>27694.35</v>
      </c>
      <c r="G69" s="275">
        <f t="shared" si="0"/>
        <v>27694.35</v>
      </c>
    </row>
    <row r="70" spans="1:8" ht="23.1" customHeight="1">
      <c r="B70" s="143" t="s">
        <v>296</v>
      </c>
      <c r="C70" s="273" t="s">
        <v>298</v>
      </c>
      <c r="D70" s="274">
        <v>70960</v>
      </c>
      <c r="E70" s="264">
        <f>280784370.42+44225</f>
        <v>280828595.42000002</v>
      </c>
      <c r="F70" s="264">
        <v>361062661.63999999</v>
      </c>
      <c r="G70" s="275">
        <f t="shared" si="0"/>
        <v>80234066.219999969</v>
      </c>
    </row>
    <row r="71" spans="1:8" ht="23.1" customHeight="1">
      <c r="B71" s="143" t="s">
        <v>260</v>
      </c>
      <c r="C71" s="273" t="s">
        <v>262</v>
      </c>
      <c r="D71" s="274">
        <v>70970</v>
      </c>
      <c r="E71" s="264">
        <f>1459000+1400000+1020000+1725000+1060000+3593500+5945500+3179000+1963000+2140000+39000+6070000+1820000+380000+450000+109163135+167654050+292000</f>
        <v>309353185</v>
      </c>
      <c r="F71" s="264">
        <v>511375323.27999997</v>
      </c>
      <c r="G71" s="275">
        <f t="shared" si="0"/>
        <v>202022138.27999997</v>
      </c>
    </row>
    <row r="72" spans="1:8" ht="23.1" customHeight="1">
      <c r="B72" s="143" t="s">
        <v>251</v>
      </c>
      <c r="C72" s="273" t="s">
        <v>253</v>
      </c>
      <c r="D72" s="274">
        <v>71090</v>
      </c>
      <c r="E72" s="264">
        <f>164000+19500</f>
        <v>183500</v>
      </c>
      <c r="F72" s="264">
        <v>400000</v>
      </c>
      <c r="G72" s="275">
        <f t="shared" si="0"/>
        <v>216500</v>
      </c>
    </row>
    <row r="73" spans="1:8" s="12" customFormat="1" ht="23.1" customHeight="1">
      <c r="A73" s="282"/>
      <c r="B73" s="172"/>
      <c r="C73" s="271" t="s">
        <v>837</v>
      </c>
      <c r="D73" s="283"/>
      <c r="E73" s="284">
        <f>SUM(E8:E72)</f>
        <v>1045264627.02</v>
      </c>
      <c r="F73" s="284">
        <f>SUM(F8:F72)</f>
        <v>1951632823.8199999</v>
      </c>
      <c r="G73" s="284">
        <f>SUM(G8:G72)</f>
        <v>906368196.79999995</v>
      </c>
      <c r="H73" s="282"/>
    </row>
    <row r="74" spans="1:8" ht="23.1" customHeight="1">
      <c r="B74" s="143"/>
      <c r="C74" s="262"/>
      <c r="D74" s="274"/>
      <c r="E74" s="264"/>
      <c r="F74" s="264"/>
      <c r="G74" s="143"/>
    </row>
    <row r="75" spans="1:8" s="12" customFormat="1" ht="23.1" customHeight="1">
      <c r="A75" s="282"/>
      <c r="B75" s="172"/>
      <c r="C75" s="271" t="s">
        <v>839</v>
      </c>
      <c r="D75" s="283"/>
      <c r="E75" s="284"/>
      <c r="F75" s="284"/>
      <c r="G75" s="172"/>
      <c r="H75" s="282"/>
    </row>
    <row r="76" spans="1:8" ht="23.1" customHeight="1">
      <c r="B76" s="143" t="s">
        <v>177</v>
      </c>
      <c r="C76" s="273" t="s">
        <v>179</v>
      </c>
      <c r="D76" s="274">
        <v>70112</v>
      </c>
      <c r="E76" s="264">
        <f>123976484.81+22834190</f>
        <v>146810674.81</v>
      </c>
      <c r="F76" s="264">
        <v>130000000</v>
      </c>
      <c r="G76" s="275">
        <f>F76-E76</f>
        <v>-16810674.810000002</v>
      </c>
    </row>
    <row r="77" spans="1:8" ht="23.1" customHeight="1">
      <c r="B77" s="274" t="s">
        <v>501</v>
      </c>
      <c r="C77" s="273" t="s">
        <v>1337</v>
      </c>
      <c r="D77" s="274" t="s">
        <v>878</v>
      </c>
      <c r="E77" s="264"/>
      <c r="F77" s="264">
        <v>0</v>
      </c>
      <c r="G77" s="275">
        <f>F77-E77</f>
        <v>0</v>
      </c>
    </row>
    <row r="78" spans="1:8" ht="23.1" customHeight="1">
      <c r="B78" s="143" t="s">
        <v>162</v>
      </c>
      <c r="C78" s="273" t="s">
        <v>164</v>
      </c>
      <c r="D78" s="274">
        <v>70421</v>
      </c>
      <c r="E78" s="264">
        <f>3450200+423500+200000+446000+2700000+10000+19800+50000+190500</f>
        <v>7490000</v>
      </c>
      <c r="F78" s="264">
        <v>17168105.690000001</v>
      </c>
      <c r="G78" s="275">
        <f>F78-E78</f>
        <v>9678105.6900000013</v>
      </c>
    </row>
    <row r="79" spans="1:8" ht="23.1" customHeight="1">
      <c r="B79" s="143" t="s">
        <v>227</v>
      </c>
      <c r="C79" s="273" t="s">
        <v>229</v>
      </c>
      <c r="D79" s="274">
        <v>70610</v>
      </c>
      <c r="E79" s="264">
        <v>10000</v>
      </c>
      <c r="F79" s="264">
        <v>1000000</v>
      </c>
      <c r="G79" s="275">
        <f>F79-E79</f>
        <v>990000</v>
      </c>
    </row>
    <row r="80" spans="1:8" ht="23.1" customHeight="1">
      <c r="B80" s="143" t="s">
        <v>251</v>
      </c>
      <c r="C80" s="273" t="s">
        <v>253</v>
      </c>
      <c r="D80" s="274">
        <v>71090</v>
      </c>
      <c r="E80" s="264">
        <f>290000+3664000</f>
        <v>3954000</v>
      </c>
      <c r="F80" s="264">
        <v>4099127.91</v>
      </c>
      <c r="G80" s="275">
        <f>F80-E80</f>
        <v>145127.91000000015</v>
      </c>
    </row>
    <row r="81" spans="1:9" s="12" customFormat="1" ht="23.1" customHeight="1">
      <c r="A81" s="282"/>
      <c r="B81" s="172"/>
      <c r="C81" s="271" t="s">
        <v>838</v>
      </c>
      <c r="D81" s="283"/>
      <c r="E81" s="284">
        <f>SUM(E76:E80)</f>
        <v>158264674.81</v>
      </c>
      <c r="F81" s="284">
        <f>SUM(F76:F80)</f>
        <v>152267233.59999999</v>
      </c>
      <c r="G81" s="284">
        <f>SUM(G76:G80)</f>
        <v>-5997441.2100000009</v>
      </c>
      <c r="H81" s="282"/>
    </row>
    <row r="82" spans="1:9" ht="23.1" customHeight="1">
      <c r="B82" s="143"/>
      <c r="C82" s="262"/>
      <c r="D82" s="274"/>
      <c r="E82" s="264"/>
      <c r="F82" s="264"/>
      <c r="G82" s="143"/>
    </row>
    <row r="83" spans="1:9" s="12" customFormat="1" ht="23.1" customHeight="1">
      <c r="A83" s="282"/>
      <c r="B83" s="172"/>
      <c r="C83" s="271" t="s">
        <v>840</v>
      </c>
      <c r="D83" s="283"/>
      <c r="E83" s="284"/>
      <c r="F83" s="284"/>
      <c r="G83" s="172"/>
      <c r="H83" s="282"/>
    </row>
    <row r="84" spans="1:9" ht="23.1" customHeight="1">
      <c r="B84" s="143" t="s">
        <v>134</v>
      </c>
      <c r="C84" s="273" t="s">
        <v>136</v>
      </c>
      <c r="D84" s="274">
        <v>70111</v>
      </c>
      <c r="E84" s="264">
        <v>85000</v>
      </c>
      <c r="F84" s="264">
        <v>1044250.65</v>
      </c>
      <c r="G84" s="275">
        <f>F84-E84</f>
        <v>959250.65</v>
      </c>
    </row>
    <row r="85" spans="1:9" ht="23.1" customHeight="1">
      <c r="B85" s="143" t="s">
        <v>409</v>
      </c>
      <c r="C85" s="273" t="s">
        <v>1940</v>
      </c>
      <c r="D85" s="274">
        <v>70111</v>
      </c>
      <c r="E85" s="264">
        <v>145600</v>
      </c>
      <c r="F85" s="264"/>
      <c r="G85" s="275">
        <f t="shared" ref="G85:G114" si="1">F85-E85</f>
        <v>-145600</v>
      </c>
    </row>
    <row r="86" spans="1:9" ht="23.1" customHeight="1">
      <c r="B86" s="143" t="s">
        <v>177</v>
      </c>
      <c r="C86" s="273" t="s">
        <v>179</v>
      </c>
      <c r="D86" s="274">
        <v>70112</v>
      </c>
      <c r="E86" s="264">
        <v>2500000</v>
      </c>
      <c r="F86" s="264">
        <v>8000000</v>
      </c>
      <c r="G86" s="275">
        <f t="shared" si="1"/>
        <v>5500000</v>
      </c>
    </row>
    <row r="87" spans="1:9" ht="23.1" customHeight="1">
      <c r="B87" s="143" t="s">
        <v>151</v>
      </c>
      <c r="C87" s="273" t="s">
        <v>153</v>
      </c>
      <c r="D87" s="274">
        <v>70131</v>
      </c>
      <c r="E87" s="264"/>
      <c r="F87" s="264">
        <v>850000</v>
      </c>
      <c r="G87" s="275">
        <f t="shared" si="1"/>
        <v>850000</v>
      </c>
    </row>
    <row r="88" spans="1:9" ht="23.1" customHeight="1">
      <c r="B88" s="143" t="s">
        <v>244</v>
      </c>
      <c r="C88" s="273" t="s">
        <v>246</v>
      </c>
      <c r="D88" s="274">
        <v>70160</v>
      </c>
      <c r="E88" s="264">
        <v>26000</v>
      </c>
      <c r="F88" s="264">
        <v>8500000</v>
      </c>
      <c r="G88" s="275">
        <f t="shared" si="1"/>
        <v>8474000</v>
      </c>
    </row>
    <row r="89" spans="1:9" ht="23.1" customHeight="1">
      <c r="B89" s="143" t="s">
        <v>186</v>
      </c>
      <c r="C89" s="273" t="s">
        <v>188</v>
      </c>
      <c r="D89" s="274">
        <v>70411</v>
      </c>
      <c r="E89" s="264">
        <f>132500+100000+235000+10000</f>
        <v>477500</v>
      </c>
      <c r="F89" s="264">
        <v>3385012.93</v>
      </c>
      <c r="G89" s="275">
        <f t="shared" si="1"/>
        <v>2907512.93</v>
      </c>
    </row>
    <row r="90" spans="1:9" ht="23.1" customHeight="1">
      <c r="B90" s="143" t="s">
        <v>471</v>
      </c>
      <c r="C90" s="273" t="s">
        <v>473</v>
      </c>
      <c r="D90" s="274">
        <v>70421</v>
      </c>
      <c r="E90" s="264"/>
      <c r="F90" s="264"/>
      <c r="G90" s="275">
        <f t="shared" si="1"/>
        <v>0</v>
      </c>
    </row>
    <row r="91" spans="1:9" ht="23.1" customHeight="1">
      <c r="B91" s="143" t="s">
        <v>483</v>
      </c>
      <c r="C91" s="273" t="s">
        <v>485</v>
      </c>
      <c r="D91" s="274">
        <v>70422</v>
      </c>
      <c r="E91" s="264">
        <f>37407027.64-514000+210000</f>
        <v>37103027.640000001</v>
      </c>
      <c r="F91" s="264">
        <v>77778642.700000003</v>
      </c>
      <c r="G91" s="275">
        <f t="shared" si="1"/>
        <v>40675615.060000002</v>
      </c>
    </row>
    <row r="92" spans="1:9" ht="23.1" customHeight="1">
      <c r="B92" s="143" t="s">
        <v>195</v>
      </c>
      <c r="C92" s="273" t="s">
        <v>197</v>
      </c>
      <c r="D92" s="274">
        <v>70435</v>
      </c>
      <c r="E92" s="264"/>
      <c r="F92" s="264"/>
      <c r="G92" s="275">
        <f t="shared" si="1"/>
        <v>0</v>
      </c>
    </row>
    <row r="93" spans="1:9" ht="23.1" customHeight="1">
      <c r="B93" s="143" t="s">
        <v>206</v>
      </c>
      <c r="C93" s="273" t="s">
        <v>208</v>
      </c>
      <c r="D93" s="274">
        <v>70443</v>
      </c>
      <c r="E93" s="264">
        <v>198900</v>
      </c>
      <c r="F93" s="264">
        <v>500000</v>
      </c>
      <c r="G93" s="275">
        <f t="shared" si="1"/>
        <v>301100</v>
      </c>
      <c r="I93" s="65"/>
    </row>
    <row r="94" spans="1:9" ht="23.1" customHeight="1">
      <c r="B94" s="143" t="s">
        <v>412</v>
      </c>
      <c r="C94" s="273" t="s">
        <v>414</v>
      </c>
      <c r="D94" s="274">
        <v>70460</v>
      </c>
      <c r="E94" s="264">
        <v>10116.780000000001</v>
      </c>
      <c r="F94" s="264">
        <v>161401.4</v>
      </c>
      <c r="G94" s="275">
        <f t="shared" si="1"/>
        <v>151284.62</v>
      </c>
    </row>
    <row r="95" spans="1:9" ht="23.1" customHeight="1">
      <c r="B95" s="143" t="s">
        <v>317</v>
      </c>
      <c r="C95" s="273" t="s">
        <v>319</v>
      </c>
      <c r="D95" s="274">
        <v>70510</v>
      </c>
      <c r="E95" s="264">
        <v>280000</v>
      </c>
      <c r="F95" s="264">
        <v>3800000</v>
      </c>
      <c r="G95" s="275">
        <f t="shared" si="1"/>
        <v>3520000</v>
      </c>
    </row>
    <row r="96" spans="1:9" ht="23.1" customHeight="1">
      <c r="B96" s="143" t="s">
        <v>227</v>
      </c>
      <c r="C96" s="273" t="s">
        <v>229</v>
      </c>
      <c r="D96" s="274">
        <v>70610</v>
      </c>
      <c r="E96" s="264">
        <f>2274823+6444003.69+1144117.57</f>
        <v>9862944.2600000016</v>
      </c>
      <c r="F96" s="264">
        <v>27000000</v>
      </c>
      <c r="G96" s="275">
        <f t="shared" si="1"/>
        <v>17137055.739999998</v>
      </c>
    </row>
    <row r="97" spans="2:9" ht="23.1" customHeight="1">
      <c r="B97" s="143" t="s">
        <v>835</v>
      </c>
      <c r="C97" s="273" t="s">
        <v>836</v>
      </c>
      <c r="D97" s="274">
        <v>70610</v>
      </c>
      <c r="E97" s="264"/>
      <c r="F97" s="264"/>
      <c r="G97" s="275">
        <f t="shared" si="1"/>
        <v>0</v>
      </c>
    </row>
    <row r="98" spans="2:9" ht="23.1" customHeight="1">
      <c r="B98" s="143" t="s">
        <v>224</v>
      </c>
      <c r="C98" s="273" t="s">
        <v>226</v>
      </c>
      <c r="D98" s="274">
        <v>70630</v>
      </c>
      <c r="E98" s="264">
        <v>1312380</v>
      </c>
      <c r="F98" s="264">
        <v>1632751.94</v>
      </c>
      <c r="G98" s="275">
        <f t="shared" si="1"/>
        <v>320371.93999999994</v>
      </c>
    </row>
    <row r="99" spans="2:9" ht="23.1" customHeight="1">
      <c r="B99" s="143" t="s">
        <v>305</v>
      </c>
      <c r="C99" s="273" t="s">
        <v>307</v>
      </c>
      <c r="D99" s="274">
        <v>70731</v>
      </c>
      <c r="E99" s="264"/>
      <c r="F99" s="264">
        <v>2297745.7200000002</v>
      </c>
      <c r="G99" s="275">
        <f t="shared" si="1"/>
        <v>2297745.7200000002</v>
      </c>
    </row>
    <row r="100" spans="2:9" ht="23.1" customHeight="1">
      <c r="B100" s="143" t="s">
        <v>308</v>
      </c>
      <c r="C100" s="273" t="s">
        <v>310</v>
      </c>
      <c r="D100" s="274">
        <v>70734</v>
      </c>
      <c r="E100" s="264">
        <v>1321551.07</v>
      </c>
      <c r="F100" s="264">
        <v>4197207.05</v>
      </c>
      <c r="G100" s="275">
        <f t="shared" si="1"/>
        <v>2875655.9799999995</v>
      </c>
    </row>
    <row r="101" spans="2:9" ht="23.1" customHeight="1">
      <c r="B101" s="143" t="s">
        <v>271</v>
      </c>
      <c r="C101" s="273" t="s">
        <v>273</v>
      </c>
      <c r="D101" s="274">
        <v>70912</v>
      </c>
      <c r="E101" s="264"/>
      <c r="F101" s="264"/>
      <c r="G101" s="275">
        <f t="shared" si="1"/>
        <v>0</v>
      </c>
    </row>
    <row r="102" spans="2:9" ht="23.1" customHeight="1">
      <c r="B102" s="143" t="s">
        <v>281</v>
      </c>
      <c r="C102" s="273" t="s">
        <v>283</v>
      </c>
      <c r="D102" s="274">
        <v>70960</v>
      </c>
      <c r="E102" s="264">
        <v>5147250</v>
      </c>
      <c r="F102" s="264">
        <v>13575258.41</v>
      </c>
      <c r="G102" s="275">
        <f t="shared" si="1"/>
        <v>8428008.4100000001</v>
      </c>
    </row>
    <row r="103" spans="2:9" ht="23.1" customHeight="1">
      <c r="B103" s="143" t="s">
        <v>287</v>
      </c>
      <c r="C103" s="273" t="s">
        <v>289</v>
      </c>
      <c r="D103" s="274">
        <v>70960</v>
      </c>
      <c r="E103" s="264">
        <v>184000</v>
      </c>
      <c r="F103" s="264">
        <v>625851.85</v>
      </c>
      <c r="G103" s="275">
        <f t="shared" si="1"/>
        <v>441851.85</v>
      </c>
    </row>
    <row r="104" spans="2:9" ht="23.1" customHeight="1">
      <c r="B104" s="143" t="s">
        <v>260</v>
      </c>
      <c r="C104" s="273" t="s">
        <v>262</v>
      </c>
      <c r="D104" s="274">
        <v>70970</v>
      </c>
      <c r="E104" s="264">
        <f>141700+2401000+3460000+320000+5000</f>
        <v>6327700</v>
      </c>
      <c r="F104" s="264">
        <v>10750000</v>
      </c>
      <c r="G104" s="275">
        <f t="shared" si="1"/>
        <v>4422300</v>
      </c>
      <c r="I104" s="65"/>
    </row>
    <row r="105" spans="2:9" ht="23.1" customHeight="1">
      <c r="B105" s="143" t="s">
        <v>251</v>
      </c>
      <c r="C105" s="273" t="s">
        <v>253</v>
      </c>
      <c r="D105" s="274">
        <v>71090</v>
      </c>
      <c r="E105" s="264">
        <v>158000</v>
      </c>
      <c r="F105" s="264">
        <v>200000</v>
      </c>
      <c r="G105" s="275">
        <f t="shared" si="1"/>
        <v>42000</v>
      </c>
    </row>
    <row r="106" spans="2:9" ht="23.1" customHeight="1">
      <c r="B106" s="143" t="s">
        <v>128</v>
      </c>
      <c r="C106" s="273" t="s">
        <v>130</v>
      </c>
      <c r="D106" s="274">
        <v>70111</v>
      </c>
      <c r="E106" s="264">
        <v>539600</v>
      </c>
      <c r="F106" s="264">
        <v>1000975.45</v>
      </c>
      <c r="G106" s="275">
        <f t="shared" si="1"/>
        <v>461375.44999999995</v>
      </c>
    </row>
    <row r="107" spans="2:9" ht="23.1" customHeight="1">
      <c r="B107" s="143" t="s">
        <v>189</v>
      </c>
      <c r="C107" s="273" t="s">
        <v>191</v>
      </c>
      <c r="D107" s="274">
        <v>70411</v>
      </c>
      <c r="E107" s="264"/>
      <c r="F107" s="264">
        <v>313275.19</v>
      </c>
      <c r="G107" s="275">
        <f t="shared" si="1"/>
        <v>313275.19</v>
      </c>
    </row>
    <row r="108" spans="2:9" ht="23.1" customHeight="1">
      <c r="B108" s="143" t="s">
        <v>165</v>
      </c>
      <c r="C108" s="273" t="s">
        <v>167</v>
      </c>
      <c r="D108" s="274">
        <v>70422</v>
      </c>
      <c r="E108" s="264">
        <v>14000</v>
      </c>
      <c r="F108" s="264">
        <v>1049301.76</v>
      </c>
      <c r="G108" s="275">
        <f t="shared" si="1"/>
        <v>1035301.76</v>
      </c>
    </row>
    <row r="109" spans="2:9" ht="23.1" customHeight="1">
      <c r="B109" s="143" t="s">
        <v>841</v>
      </c>
      <c r="C109" s="273" t="s">
        <v>842</v>
      </c>
      <c r="D109" s="274">
        <v>70422</v>
      </c>
      <c r="E109" s="264"/>
      <c r="F109" s="264"/>
      <c r="G109" s="275">
        <f t="shared" si="1"/>
        <v>0</v>
      </c>
    </row>
    <row r="110" spans="2:9" ht="23.1" customHeight="1">
      <c r="B110" s="143" t="s">
        <v>212</v>
      </c>
      <c r="C110" s="273" t="s">
        <v>214</v>
      </c>
      <c r="D110" s="274">
        <v>70820</v>
      </c>
      <c r="E110" s="264">
        <f>100000+60000</f>
        <v>160000</v>
      </c>
      <c r="F110" s="264">
        <v>522125.32</v>
      </c>
      <c r="G110" s="275">
        <f t="shared" si="1"/>
        <v>362125.32</v>
      </c>
    </row>
    <row r="111" spans="2:9" ht="23.1" customHeight="1">
      <c r="B111" s="143" t="s">
        <v>116</v>
      </c>
      <c r="C111" s="273" t="s">
        <v>118</v>
      </c>
      <c r="D111" s="274">
        <v>70840</v>
      </c>
      <c r="E111" s="264">
        <v>11000</v>
      </c>
      <c r="F111" s="264">
        <v>1566375.97</v>
      </c>
      <c r="G111" s="275">
        <f t="shared" si="1"/>
        <v>1555375.97</v>
      </c>
    </row>
    <row r="112" spans="2:9" ht="23.1" customHeight="1">
      <c r="B112" s="143" t="s">
        <v>119</v>
      </c>
      <c r="C112" s="273" t="s">
        <v>121</v>
      </c>
      <c r="D112" s="274">
        <v>70840</v>
      </c>
      <c r="E112" s="264">
        <v>132000</v>
      </c>
      <c r="F112" s="264">
        <v>472185.79</v>
      </c>
      <c r="G112" s="275">
        <f t="shared" si="1"/>
        <v>340185.79</v>
      </c>
    </row>
    <row r="113" spans="1:8" ht="23.1" customHeight="1">
      <c r="B113" s="143" t="s">
        <v>290</v>
      </c>
      <c r="C113" s="273" t="s">
        <v>292</v>
      </c>
      <c r="D113" s="274">
        <v>70960</v>
      </c>
      <c r="E113" s="264"/>
      <c r="F113" s="264">
        <v>1044250.65</v>
      </c>
      <c r="G113" s="275">
        <f t="shared" si="1"/>
        <v>1044250.65</v>
      </c>
    </row>
    <row r="114" spans="1:8" ht="23.1" customHeight="1">
      <c r="B114" s="143"/>
      <c r="C114" s="273" t="s">
        <v>879</v>
      </c>
      <c r="D114" s="274"/>
      <c r="E114" s="264"/>
      <c r="F114" s="264"/>
      <c r="G114" s="275">
        <f t="shared" si="1"/>
        <v>0</v>
      </c>
    </row>
    <row r="115" spans="1:8" s="12" customFormat="1" ht="23.1" customHeight="1">
      <c r="A115" s="282"/>
      <c r="B115" s="172"/>
      <c r="C115" s="271" t="s">
        <v>843</v>
      </c>
      <c r="D115" s="283"/>
      <c r="E115" s="284">
        <f>SUM(E84:E114)</f>
        <v>65996569.750000007</v>
      </c>
      <c r="F115" s="284">
        <f>SUM(F84:F114)</f>
        <v>170266612.77999997</v>
      </c>
      <c r="G115" s="284">
        <f>SUM(G84:G114)</f>
        <v>104270043.03</v>
      </c>
      <c r="H115" s="282"/>
    </row>
    <row r="116" spans="1:8" ht="23.1" customHeight="1">
      <c r="B116" s="143"/>
      <c r="C116" s="262"/>
      <c r="D116" s="274"/>
      <c r="E116" s="264"/>
      <c r="F116" s="264"/>
      <c r="G116" s="143"/>
    </row>
    <row r="117" spans="1:8" s="12" customFormat="1" ht="23.1" customHeight="1">
      <c r="A117" s="282"/>
      <c r="B117" s="172"/>
      <c r="C117" s="271" t="s">
        <v>850</v>
      </c>
      <c r="D117" s="283"/>
      <c r="E117" s="284"/>
      <c r="F117" s="284"/>
      <c r="G117" s="172"/>
      <c r="H117" s="282"/>
    </row>
    <row r="118" spans="1:8" ht="23.1" customHeight="1">
      <c r="B118" s="143" t="s">
        <v>501</v>
      </c>
      <c r="C118" s="273" t="s">
        <v>503</v>
      </c>
      <c r="D118" s="274">
        <v>70112</v>
      </c>
      <c r="E118" s="264">
        <f>41110+99598400+6115000</f>
        <v>105754510</v>
      </c>
      <c r="F118" s="264">
        <v>9483809.6699999999</v>
      </c>
      <c r="G118" s="275">
        <f t="shared" ref="G118:G123" si="2">F118-E118</f>
        <v>-96270700.329999998</v>
      </c>
    </row>
    <row r="119" spans="1:8" ht="23.1" customHeight="1">
      <c r="B119" s="143" t="s">
        <v>162</v>
      </c>
      <c r="C119" s="273" t="s">
        <v>164</v>
      </c>
      <c r="D119" s="274">
        <v>70421</v>
      </c>
      <c r="E119" s="264"/>
      <c r="F119" s="264"/>
      <c r="G119" s="275">
        <f t="shared" si="2"/>
        <v>0</v>
      </c>
    </row>
    <row r="120" spans="1:8" ht="23.1" customHeight="1">
      <c r="B120" s="143" t="s">
        <v>545</v>
      </c>
      <c r="C120" s="273" t="s">
        <v>547</v>
      </c>
      <c r="D120" s="274">
        <v>70452</v>
      </c>
      <c r="E120" s="264"/>
      <c r="F120" s="264"/>
      <c r="G120" s="275">
        <f t="shared" si="2"/>
        <v>0</v>
      </c>
    </row>
    <row r="121" spans="1:8" ht="23.1" customHeight="1">
      <c r="B121" s="143" t="s">
        <v>227</v>
      </c>
      <c r="C121" s="273" t="s">
        <v>229</v>
      </c>
      <c r="D121" s="274">
        <v>70610</v>
      </c>
      <c r="E121" s="264">
        <f>8071395.04</f>
        <v>8071395.04</v>
      </c>
      <c r="F121" s="264">
        <v>13000000</v>
      </c>
      <c r="G121" s="275">
        <f t="shared" si="2"/>
        <v>4928604.96</v>
      </c>
    </row>
    <row r="122" spans="1:8" ht="23.1" customHeight="1">
      <c r="B122" s="143" t="s">
        <v>271</v>
      </c>
      <c r="C122" s="273" t="s">
        <v>273</v>
      </c>
      <c r="D122" s="274">
        <v>70912</v>
      </c>
      <c r="E122" s="264"/>
      <c r="F122" s="264">
        <v>1000000</v>
      </c>
      <c r="G122" s="275">
        <f t="shared" si="2"/>
        <v>1000000</v>
      </c>
    </row>
    <row r="123" spans="1:8" ht="23.1" customHeight="1">
      <c r="B123" s="143" t="s">
        <v>209</v>
      </c>
      <c r="C123" s="273" t="s">
        <v>844</v>
      </c>
      <c r="D123" s="274">
        <v>70443</v>
      </c>
      <c r="E123" s="264"/>
      <c r="F123" s="264"/>
      <c r="G123" s="275">
        <f t="shared" si="2"/>
        <v>0</v>
      </c>
    </row>
    <row r="124" spans="1:8" s="12" customFormat="1" ht="23.1" customHeight="1">
      <c r="A124" s="282"/>
      <c r="B124" s="172"/>
      <c r="C124" s="271" t="s">
        <v>845</v>
      </c>
      <c r="D124" s="283"/>
      <c r="E124" s="284">
        <f>SUM(E118:E123)</f>
        <v>113825905.04000001</v>
      </c>
      <c r="F124" s="284">
        <f>SUM(F118:F123)</f>
        <v>23483809.670000002</v>
      </c>
      <c r="G124" s="284">
        <f>SUM(G118:G123)</f>
        <v>-90342095.370000005</v>
      </c>
      <c r="H124" s="282"/>
    </row>
    <row r="125" spans="1:8" ht="23.1" customHeight="1">
      <c r="B125" s="143"/>
      <c r="C125" s="262"/>
      <c r="D125" s="274"/>
      <c r="E125" s="264"/>
      <c r="F125" s="264"/>
      <c r="G125" s="143"/>
    </row>
    <row r="126" spans="1:8" s="12" customFormat="1" ht="23.1" customHeight="1">
      <c r="A126" s="282"/>
      <c r="B126" s="172"/>
      <c r="C126" s="271" t="s">
        <v>851</v>
      </c>
      <c r="D126" s="283"/>
      <c r="E126" s="284"/>
      <c r="F126" s="284"/>
      <c r="G126" s="172"/>
      <c r="H126" s="282"/>
    </row>
    <row r="127" spans="1:8" ht="23.1" customHeight="1">
      <c r="B127" s="143" t="s">
        <v>177</v>
      </c>
      <c r="C127" s="273" t="s">
        <v>179</v>
      </c>
      <c r="D127" s="274">
        <v>70112</v>
      </c>
      <c r="E127" s="264">
        <v>7266000</v>
      </c>
      <c r="F127" s="264">
        <v>73087067.280000001</v>
      </c>
      <c r="G127" s="275">
        <f>F127-E127</f>
        <v>65821067.280000001</v>
      </c>
    </row>
    <row r="128" spans="1:8" ht="23.1" customHeight="1">
      <c r="B128" s="276" t="s">
        <v>501</v>
      </c>
      <c r="C128" s="277" t="s">
        <v>503</v>
      </c>
      <c r="D128" s="46">
        <v>70112</v>
      </c>
      <c r="E128" s="264">
        <f>50000000+438169.57</f>
        <v>50438169.57</v>
      </c>
      <c r="F128" s="264"/>
      <c r="G128" s="275">
        <f>F128-E128</f>
        <v>-50438169.57</v>
      </c>
    </row>
    <row r="129" spans="1:8" ht="23.1" customHeight="1">
      <c r="B129" s="143" t="s">
        <v>186</v>
      </c>
      <c r="C129" s="273" t="s">
        <v>188</v>
      </c>
      <c r="D129" s="274">
        <v>70411</v>
      </c>
      <c r="E129" s="264"/>
      <c r="F129" s="264">
        <v>0</v>
      </c>
      <c r="G129" s="275">
        <f>F129-E129</f>
        <v>0</v>
      </c>
    </row>
    <row r="130" spans="1:8" ht="23.1" customHeight="1">
      <c r="B130" s="143" t="s">
        <v>471</v>
      </c>
      <c r="C130" s="273" t="s">
        <v>473</v>
      </c>
      <c r="D130" s="274">
        <v>70421</v>
      </c>
      <c r="E130" s="264"/>
      <c r="F130" s="264"/>
      <c r="G130" s="275">
        <f>F130-E130</f>
        <v>0</v>
      </c>
    </row>
    <row r="131" spans="1:8" s="12" customFormat="1" ht="23.1" customHeight="1">
      <c r="A131" s="282"/>
      <c r="B131" s="172"/>
      <c r="C131" s="271" t="s">
        <v>852</v>
      </c>
      <c r="D131" s="283"/>
      <c r="E131" s="284">
        <f>SUM(E127:E130)</f>
        <v>57704169.57</v>
      </c>
      <c r="F131" s="284">
        <f>SUM(F127:F130)</f>
        <v>73087067.280000001</v>
      </c>
      <c r="G131" s="284">
        <f>SUM(G127:G130)</f>
        <v>15382897.710000001</v>
      </c>
      <c r="H131" s="282"/>
    </row>
    <row r="132" spans="1:8" ht="23.1" customHeight="1">
      <c r="B132" s="143"/>
      <c r="C132" s="262"/>
      <c r="D132" s="274"/>
      <c r="E132" s="264"/>
      <c r="F132" s="264"/>
      <c r="G132" s="143"/>
    </row>
    <row r="133" spans="1:8" s="12" customFormat="1" ht="23.1" customHeight="1">
      <c r="A133" s="282"/>
      <c r="B133" s="172"/>
      <c r="C133" s="271" t="s">
        <v>853</v>
      </c>
      <c r="D133" s="283"/>
      <c r="E133" s="284"/>
      <c r="F133" s="284"/>
      <c r="G133" s="172"/>
      <c r="H133" s="282"/>
    </row>
    <row r="134" spans="1:8" ht="23.1" customHeight="1">
      <c r="B134" s="143" t="s">
        <v>338</v>
      </c>
      <c r="C134" s="273" t="s">
        <v>95</v>
      </c>
      <c r="D134" s="274">
        <v>70111</v>
      </c>
      <c r="E134" s="264">
        <v>8847.98</v>
      </c>
      <c r="F134" s="264">
        <v>500000</v>
      </c>
      <c r="G134" s="275">
        <f>F134-E134</f>
        <v>491152.02</v>
      </c>
    </row>
    <row r="135" spans="1:8" ht="23.1" customHeight="1">
      <c r="B135" s="276" t="s">
        <v>501</v>
      </c>
      <c r="C135" s="277" t="s">
        <v>503</v>
      </c>
      <c r="D135" s="46">
        <v>70112</v>
      </c>
      <c r="E135" s="264"/>
      <c r="F135" s="264"/>
      <c r="G135" s="275">
        <f>F135-E135</f>
        <v>0</v>
      </c>
    </row>
    <row r="136" spans="1:8" ht="23.1" customHeight="1">
      <c r="B136" s="143" t="s">
        <v>110</v>
      </c>
      <c r="C136" s="273" t="s">
        <v>112</v>
      </c>
      <c r="D136" s="274">
        <v>70133</v>
      </c>
      <c r="E136" s="264">
        <v>444600</v>
      </c>
      <c r="F136" s="264">
        <v>1044250.65</v>
      </c>
      <c r="G136" s="275">
        <f>F136-E136</f>
        <v>599650.65</v>
      </c>
    </row>
    <row r="137" spans="1:8" ht="23.1" customHeight="1">
      <c r="B137" s="143" t="s">
        <v>113</v>
      </c>
      <c r="C137" s="273" t="s">
        <v>115</v>
      </c>
      <c r="D137" s="274">
        <v>70133</v>
      </c>
      <c r="E137" s="264">
        <v>844100</v>
      </c>
      <c r="F137" s="264">
        <v>1044250.65</v>
      </c>
      <c r="G137" s="275">
        <f>F137-E137</f>
        <v>200150.65000000002</v>
      </c>
    </row>
    <row r="138" spans="1:8" s="12" customFormat="1" ht="23.1" customHeight="1">
      <c r="A138" s="282"/>
      <c r="B138" s="172"/>
      <c r="C138" s="271" t="s">
        <v>854</v>
      </c>
      <c r="D138" s="283"/>
      <c r="E138" s="284">
        <f>SUM(E134:E137)</f>
        <v>1297547.98</v>
      </c>
      <c r="F138" s="284">
        <f>SUM(F134:F137)</f>
        <v>2588501.2999999998</v>
      </c>
      <c r="G138" s="284">
        <f>SUM(G134:G137)</f>
        <v>1290953.3199999998</v>
      </c>
      <c r="H138" s="282"/>
    </row>
    <row r="139" spans="1:8" ht="23.1" customHeight="1">
      <c r="B139" s="143"/>
      <c r="C139" s="262"/>
      <c r="D139" s="274"/>
      <c r="E139" s="264"/>
      <c r="F139" s="264"/>
      <c r="G139" s="143"/>
    </row>
    <row r="140" spans="1:8" s="12" customFormat="1" ht="23.1" customHeight="1">
      <c r="A140" s="282"/>
      <c r="B140" s="172"/>
      <c r="C140" s="271" t="s">
        <v>855</v>
      </c>
      <c r="D140" s="283"/>
      <c r="E140" s="284"/>
      <c r="F140" s="284"/>
      <c r="G140" s="172"/>
      <c r="H140" s="282"/>
    </row>
    <row r="141" spans="1:8" ht="23.1" customHeight="1">
      <c r="B141" s="143" t="s">
        <v>833</v>
      </c>
      <c r="C141" s="273" t="s">
        <v>670</v>
      </c>
      <c r="D141" s="274">
        <v>70131</v>
      </c>
      <c r="E141" s="264">
        <v>1742060</v>
      </c>
      <c r="F141" s="264">
        <v>2668310</v>
      </c>
      <c r="G141" s="275">
        <f>F141-E141</f>
        <v>926250</v>
      </c>
    </row>
    <row r="142" spans="1:8" ht="23.1" customHeight="1">
      <c r="B142" s="143" t="s">
        <v>665</v>
      </c>
      <c r="C142" s="273" t="s">
        <v>667</v>
      </c>
      <c r="D142" s="274">
        <v>70330</v>
      </c>
      <c r="E142" s="264">
        <v>12629589.5</v>
      </c>
      <c r="F142" s="264">
        <v>21112253.57</v>
      </c>
      <c r="G142" s="275">
        <f t="shared" ref="G142:G154" si="3">F142-E142</f>
        <v>8482664.0700000003</v>
      </c>
    </row>
    <row r="143" spans="1:8" ht="23.1" customHeight="1">
      <c r="B143" s="143" t="s">
        <v>195</v>
      </c>
      <c r="C143" s="273" t="s">
        <v>197</v>
      </c>
      <c r="D143" s="274">
        <v>70435</v>
      </c>
      <c r="E143" s="264">
        <v>196700</v>
      </c>
      <c r="F143" s="264">
        <v>202418.54</v>
      </c>
      <c r="G143" s="275">
        <f t="shared" si="3"/>
        <v>5718.5400000000081</v>
      </c>
    </row>
    <row r="144" spans="1:8" ht="23.1" customHeight="1">
      <c r="B144" s="143" t="s">
        <v>140</v>
      </c>
      <c r="C144" s="273" t="s">
        <v>142</v>
      </c>
      <c r="D144" s="274">
        <v>70460</v>
      </c>
      <c r="E144" s="264">
        <v>38683681</v>
      </c>
      <c r="F144" s="264">
        <v>108868086.09999999</v>
      </c>
      <c r="G144" s="275">
        <f t="shared" si="3"/>
        <v>70184405.099999994</v>
      </c>
    </row>
    <row r="145" spans="1:9" ht="23.1" customHeight="1">
      <c r="B145" s="143" t="s">
        <v>230</v>
      </c>
      <c r="C145" s="273" t="s">
        <v>232</v>
      </c>
      <c r="D145" s="274">
        <v>70610</v>
      </c>
      <c r="E145" s="264">
        <v>34841744.420000002</v>
      </c>
      <c r="F145" s="264">
        <v>135752584.05000001</v>
      </c>
      <c r="G145" s="275">
        <f t="shared" si="3"/>
        <v>100910839.63000001</v>
      </c>
    </row>
    <row r="146" spans="1:9" ht="23.1" customHeight="1">
      <c r="B146" s="143" t="s">
        <v>221</v>
      </c>
      <c r="C146" s="273" t="s">
        <v>223</v>
      </c>
      <c r="D146" s="274">
        <v>70630</v>
      </c>
      <c r="E146" s="264">
        <v>6159223.9500000002</v>
      </c>
      <c r="F146" s="264">
        <v>10245810.57</v>
      </c>
      <c r="G146" s="275">
        <f t="shared" si="3"/>
        <v>4086586.62</v>
      </c>
    </row>
    <row r="147" spans="1:9" ht="23.1" customHeight="1">
      <c r="B147" s="143" t="s">
        <v>320</v>
      </c>
      <c r="C147" s="273" t="s">
        <v>322</v>
      </c>
      <c r="D147" s="274">
        <v>70810</v>
      </c>
      <c r="E147" s="264">
        <v>1142000</v>
      </c>
      <c r="F147" s="264">
        <v>1044250.65</v>
      </c>
      <c r="G147" s="275">
        <f t="shared" si="3"/>
        <v>-97749.349999999977</v>
      </c>
    </row>
    <row r="148" spans="1:9" ht="23.1" customHeight="1">
      <c r="B148" s="143" t="s">
        <v>274</v>
      </c>
      <c r="C148" s="273" t="s">
        <v>276</v>
      </c>
      <c r="D148" s="274">
        <v>70960</v>
      </c>
      <c r="E148" s="264">
        <v>88000</v>
      </c>
      <c r="F148" s="264">
        <v>419328.52</v>
      </c>
      <c r="G148" s="275">
        <f t="shared" si="3"/>
        <v>331328.52</v>
      </c>
    </row>
    <row r="149" spans="1:9" ht="23.1" customHeight="1">
      <c r="B149" s="143" t="s">
        <v>171</v>
      </c>
      <c r="C149" s="273" t="s">
        <v>173</v>
      </c>
      <c r="D149" s="274">
        <v>70421</v>
      </c>
      <c r="E149" s="264">
        <v>628788</v>
      </c>
      <c r="F149" s="264">
        <v>1056564.3700000001</v>
      </c>
      <c r="G149" s="275">
        <f t="shared" si="3"/>
        <v>427776.37000000011</v>
      </c>
    </row>
    <row r="150" spans="1:9" ht="23.1" customHeight="1">
      <c r="B150" s="143" t="s">
        <v>168</v>
      </c>
      <c r="C150" s="273" t="s">
        <v>170</v>
      </c>
      <c r="D150" s="274">
        <v>70422</v>
      </c>
      <c r="E150" s="264">
        <v>84000</v>
      </c>
      <c r="F150" s="264">
        <v>749301.76000000001</v>
      </c>
      <c r="G150" s="275">
        <f t="shared" si="3"/>
        <v>665301.76000000001</v>
      </c>
    </row>
    <row r="151" spans="1:9" ht="23.1" customHeight="1">
      <c r="B151" s="143" t="s">
        <v>677</v>
      </c>
      <c r="C151" s="273" t="s">
        <v>679</v>
      </c>
      <c r="D151" s="274">
        <v>70731</v>
      </c>
      <c r="E151" s="264">
        <v>603638941</v>
      </c>
      <c r="F151" s="264">
        <v>700000000</v>
      </c>
      <c r="G151" s="275">
        <f t="shared" si="3"/>
        <v>96361059</v>
      </c>
    </row>
    <row r="152" spans="1:9" ht="23.1" customHeight="1">
      <c r="B152" s="143" t="s">
        <v>680</v>
      </c>
      <c r="C152" s="273" t="s">
        <v>682</v>
      </c>
      <c r="D152" s="274">
        <v>70734</v>
      </c>
      <c r="E152" s="264">
        <v>186628280.31</v>
      </c>
      <c r="F152" s="264">
        <v>200227478.69</v>
      </c>
      <c r="G152" s="275">
        <f t="shared" si="3"/>
        <v>13599198.379999995</v>
      </c>
      <c r="I152" s="65"/>
    </row>
    <row r="153" spans="1:9" ht="23.1" customHeight="1">
      <c r="B153" s="143" t="s">
        <v>671</v>
      </c>
      <c r="C153" s="273" t="s">
        <v>673</v>
      </c>
      <c r="D153" s="274">
        <v>70941</v>
      </c>
      <c r="E153" s="264">
        <v>634279344</v>
      </c>
      <c r="F153" s="264">
        <v>955657315.30999994</v>
      </c>
      <c r="G153" s="275">
        <f t="shared" si="3"/>
        <v>321377971.30999994</v>
      </c>
    </row>
    <row r="154" spans="1:9" ht="23.1" customHeight="1">
      <c r="B154" s="143" t="s">
        <v>674</v>
      </c>
      <c r="C154" s="273" t="s">
        <v>676</v>
      </c>
      <c r="D154" s="274">
        <v>70942</v>
      </c>
      <c r="E154" s="264">
        <v>4186212296</v>
      </c>
      <c r="F154" s="264">
        <v>3811125264.1199999</v>
      </c>
      <c r="G154" s="275">
        <f t="shared" si="3"/>
        <v>-375087031.88000011</v>
      </c>
    </row>
    <row r="155" spans="1:9" s="12" customFormat="1" ht="23.1" customHeight="1">
      <c r="A155" s="282"/>
      <c r="B155" s="172"/>
      <c r="C155" s="271" t="s">
        <v>846</v>
      </c>
      <c r="D155" s="283"/>
      <c r="E155" s="284">
        <f>SUM(E141:E154)</f>
        <v>5706954648.1800003</v>
      </c>
      <c r="F155" s="284">
        <f>SUM(F141:F154)</f>
        <v>5949128966.25</v>
      </c>
      <c r="G155" s="284">
        <f>SUM(G141:G154)</f>
        <v>242174318.06999981</v>
      </c>
      <c r="H155" s="282"/>
    </row>
    <row r="156" spans="1:9" s="12" customFormat="1" ht="23.1" customHeight="1">
      <c r="A156" s="282"/>
      <c r="B156" s="172"/>
      <c r="C156" s="271" t="s">
        <v>847</v>
      </c>
      <c r="D156" s="283"/>
      <c r="E156" s="284">
        <f>E155+E138+E131+E124+E115+E81+E73</f>
        <v>7149308142.3500004</v>
      </c>
      <c r="F156" s="284">
        <f>F155+F138+F131+F124+F115+F81+F73</f>
        <v>8322455014.6999998</v>
      </c>
      <c r="G156" s="284">
        <f>G155+G138+G131+G124+G115+G81+G73</f>
        <v>1173146872.3499997</v>
      </c>
      <c r="H156" s="282"/>
    </row>
  </sheetData>
  <mergeCells count="4">
    <mergeCell ref="A1:G1"/>
    <mergeCell ref="A2:G2"/>
    <mergeCell ref="A3:G3"/>
    <mergeCell ref="A4:G4"/>
  </mergeCells>
  <pageMargins left="0.5" right="0.5" top="0.75" bottom="0.5" header="0.3" footer="0.5"/>
  <pageSetup paperSize="9" firstPageNumber="87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16" workbookViewId="0">
      <selection activeCell="D43" sqref="D43"/>
    </sheetView>
  </sheetViews>
  <sheetFormatPr defaultRowHeight="15"/>
  <cols>
    <col min="1" max="1" width="5.140625" style="142" customWidth="1"/>
    <col min="2" max="2" width="6.85546875" style="191" customWidth="1"/>
    <col min="3" max="3" width="44.85546875" style="142" customWidth="1"/>
    <col min="4" max="4" width="23.85546875" style="142" customWidth="1"/>
    <col min="5" max="6" width="23.85546875" style="191" customWidth="1"/>
    <col min="7" max="7" width="9.140625" style="142"/>
  </cols>
  <sheetData>
    <row r="1" spans="1:10" s="101" customFormat="1" ht="21.95" hidden="1" customHeight="1">
      <c r="A1" s="142"/>
      <c r="B1" s="599" t="s">
        <v>0</v>
      </c>
      <c r="C1" s="599"/>
      <c r="D1" s="599"/>
      <c r="E1" s="599"/>
      <c r="F1" s="599"/>
      <c r="G1" s="269"/>
      <c r="H1" s="104"/>
      <c r="I1" s="104"/>
      <c r="J1" s="104"/>
    </row>
    <row r="2" spans="1:10" s="101" customFormat="1" ht="21.95" hidden="1" customHeight="1">
      <c r="A2" s="142"/>
      <c r="B2" s="600" t="s">
        <v>1571</v>
      </c>
      <c r="C2" s="600"/>
      <c r="D2" s="600"/>
      <c r="E2" s="600"/>
      <c r="F2" s="600"/>
      <c r="G2" s="270"/>
      <c r="H2" s="105"/>
      <c r="I2" s="105"/>
      <c r="J2" s="105"/>
    </row>
    <row r="3" spans="1:10" s="101" customFormat="1" ht="21.95" hidden="1" customHeight="1">
      <c r="A3" s="142"/>
      <c r="B3" s="600" t="s">
        <v>336</v>
      </c>
      <c r="C3" s="600"/>
      <c r="D3" s="600"/>
      <c r="E3" s="600"/>
      <c r="F3" s="600"/>
      <c r="G3" s="270"/>
      <c r="H3" s="105"/>
      <c r="I3" s="105"/>
      <c r="J3" s="105"/>
    </row>
    <row r="4" spans="1:10" s="101" customFormat="1" ht="21.95" customHeight="1">
      <c r="A4" s="142"/>
      <c r="B4" s="599" t="s">
        <v>1464</v>
      </c>
      <c r="C4" s="599"/>
      <c r="D4" s="599"/>
      <c r="E4" s="599"/>
      <c r="F4" s="599"/>
      <c r="G4" s="269"/>
      <c r="H4" s="104"/>
      <c r="I4" s="104"/>
      <c r="J4" s="104"/>
    </row>
    <row r="5" spans="1:10" ht="20.100000000000001" customHeight="1">
      <c r="B5" s="172"/>
      <c r="C5" s="181"/>
      <c r="D5" s="601">
        <v>2018</v>
      </c>
      <c r="E5" s="601"/>
      <c r="F5" s="601"/>
    </row>
    <row r="6" spans="1:10" ht="20.100000000000001" customHeight="1">
      <c r="B6" s="172" t="s">
        <v>87</v>
      </c>
      <c r="C6" s="172" t="s">
        <v>693</v>
      </c>
      <c r="D6" s="217" t="s">
        <v>691</v>
      </c>
      <c r="E6" s="217" t="s">
        <v>692</v>
      </c>
      <c r="F6" s="217" t="s">
        <v>93</v>
      </c>
    </row>
    <row r="7" spans="1:10" ht="20.100000000000001" customHeight="1">
      <c r="B7" s="172"/>
      <c r="C7" s="181"/>
      <c r="D7" s="180" t="s">
        <v>1458</v>
      </c>
      <c r="E7" s="182" t="s">
        <v>1458</v>
      </c>
      <c r="F7" s="182" t="s">
        <v>1458</v>
      </c>
    </row>
    <row r="8" spans="1:10" ht="20.100000000000001" customHeight="1">
      <c r="B8" s="172"/>
      <c r="C8" s="181" t="s">
        <v>808</v>
      </c>
      <c r="D8" s="287">
        <v>0</v>
      </c>
      <c r="E8" s="287">
        <v>0</v>
      </c>
      <c r="F8" s="288">
        <f>E8-D8</f>
        <v>0</v>
      </c>
    </row>
    <row r="9" spans="1:10" ht="20.100000000000001" customHeight="1">
      <c r="B9" s="172"/>
      <c r="C9" s="181" t="s">
        <v>809</v>
      </c>
      <c r="D9" s="287">
        <v>0</v>
      </c>
      <c r="E9" s="287">
        <v>0</v>
      </c>
      <c r="F9" s="288">
        <f>E9-D9</f>
        <v>0</v>
      </c>
    </row>
    <row r="10" spans="1:10" ht="20.100000000000001" customHeight="1">
      <c r="B10" s="172"/>
      <c r="C10" s="181" t="s">
        <v>813</v>
      </c>
      <c r="D10" s="182"/>
      <c r="E10" s="182"/>
      <c r="F10" s="288"/>
    </row>
    <row r="11" spans="1:10" ht="20.100000000000001" customHeight="1">
      <c r="B11" s="276">
        <v>1</v>
      </c>
      <c r="C11" s="134" t="s">
        <v>811</v>
      </c>
      <c r="D11" s="114">
        <v>94369459.439999998</v>
      </c>
      <c r="E11" s="13">
        <v>0</v>
      </c>
      <c r="F11" s="288">
        <f>E11-D11</f>
        <v>-94369459.439999998</v>
      </c>
    </row>
    <row r="12" spans="1:10" ht="20.100000000000001" customHeight="1">
      <c r="B12" s="276">
        <v>2</v>
      </c>
      <c r="C12" s="134" t="s">
        <v>812</v>
      </c>
      <c r="D12" s="114">
        <v>42407513.549999997</v>
      </c>
      <c r="E12" s="13">
        <v>0</v>
      </c>
      <c r="F12" s="288">
        <f>E12-D12</f>
        <v>-42407513.549999997</v>
      </c>
    </row>
    <row r="13" spans="1:10" ht="20.100000000000001" customHeight="1">
      <c r="B13" s="276">
        <v>3</v>
      </c>
      <c r="C13" s="134" t="s">
        <v>1947</v>
      </c>
      <c r="D13" s="289">
        <v>109945408.81999999</v>
      </c>
      <c r="E13" s="13">
        <v>0</v>
      </c>
      <c r="F13" s="288">
        <f>E13-D13</f>
        <v>-109945408.81999999</v>
      </c>
    </row>
    <row r="14" spans="1:10" ht="20.100000000000001" customHeight="1">
      <c r="B14" s="154"/>
      <c r="C14" s="203" t="s">
        <v>65</v>
      </c>
      <c r="D14" s="290">
        <f>SUM(D11:D13)</f>
        <v>246722381.81</v>
      </c>
      <c r="E14" s="239">
        <f>SUM(E11:E13)</f>
        <v>0</v>
      </c>
      <c r="F14" s="239">
        <f>SUM(F11:F13)</f>
        <v>-246722381.81</v>
      </c>
    </row>
    <row r="15" spans="1:10" s="4" customFormat="1" ht="24.95" customHeight="1">
      <c r="A15" s="204"/>
      <c r="B15" s="602" t="s">
        <v>1465</v>
      </c>
      <c r="C15" s="602"/>
      <c r="D15" s="602"/>
      <c r="E15" s="602"/>
      <c r="F15" s="602"/>
      <c r="G15" s="204"/>
    </row>
    <row r="16" spans="1:10" s="4" customFormat="1" ht="20.100000000000001" customHeight="1">
      <c r="A16" s="204"/>
      <c r="B16" s="172"/>
      <c r="C16" s="181"/>
      <c r="D16" s="601">
        <v>2018</v>
      </c>
      <c r="E16" s="601"/>
      <c r="F16" s="601"/>
      <c r="G16" s="204"/>
    </row>
    <row r="17" spans="1:10" s="4" customFormat="1" ht="20.100000000000001" customHeight="1">
      <c r="A17" s="204"/>
      <c r="B17" s="172" t="s">
        <v>87</v>
      </c>
      <c r="C17" s="172" t="s">
        <v>814</v>
      </c>
      <c r="D17" s="217" t="s">
        <v>691</v>
      </c>
      <c r="E17" s="217" t="s">
        <v>692</v>
      </c>
      <c r="F17" s="217" t="s">
        <v>93</v>
      </c>
      <c r="G17" s="204"/>
    </row>
    <row r="18" spans="1:10" s="4" customFormat="1" ht="20.100000000000001" customHeight="1">
      <c r="A18" s="204"/>
      <c r="B18" s="172"/>
      <c r="C18" s="181"/>
      <c r="D18" s="182" t="s">
        <v>1458</v>
      </c>
      <c r="E18" s="182" t="s">
        <v>1458</v>
      </c>
      <c r="F18" s="182" t="s">
        <v>1458</v>
      </c>
      <c r="G18" s="204"/>
    </row>
    <row r="19" spans="1:10" s="4" customFormat="1" ht="20.100000000000001" customHeight="1">
      <c r="A19" s="204"/>
      <c r="B19" s="276">
        <v>1</v>
      </c>
      <c r="C19" s="134" t="s">
        <v>1589</v>
      </c>
      <c r="D19" s="13">
        <v>2910560</v>
      </c>
      <c r="E19" s="13"/>
      <c r="F19" s="22"/>
      <c r="G19" s="204"/>
    </row>
    <row r="20" spans="1:10" s="4" customFormat="1" ht="20.100000000000001" customHeight="1">
      <c r="A20" s="204"/>
      <c r="B20" s="276">
        <v>3</v>
      </c>
      <c r="C20" s="291" t="s">
        <v>815</v>
      </c>
      <c r="D20" s="13">
        <v>51558390</v>
      </c>
      <c r="E20" s="13"/>
      <c r="F20" s="22"/>
      <c r="G20" s="204"/>
    </row>
    <row r="21" spans="1:10" s="4" customFormat="1" ht="20.100000000000001" customHeight="1">
      <c r="A21" s="204"/>
      <c r="B21" s="276"/>
      <c r="C21" s="292" t="s">
        <v>65</v>
      </c>
      <c r="D21" s="293">
        <f>SUM(D19:D20)</f>
        <v>54468950</v>
      </c>
      <c r="E21" s="293">
        <f>SUM(E19:E20)</f>
        <v>0</v>
      </c>
      <c r="F21" s="293">
        <f>SUM(F19:F20)</f>
        <v>0</v>
      </c>
      <c r="G21" s="204"/>
    </row>
    <row r="22" spans="1:10" s="4" customFormat="1" ht="72.75" hidden="1" customHeight="1">
      <c r="A22" s="204"/>
      <c r="B22" s="294"/>
      <c r="C22" s="295"/>
      <c r="D22" s="61"/>
      <c r="E22" s="61"/>
      <c r="F22" s="61"/>
      <c r="G22" s="204"/>
    </row>
    <row r="23" spans="1:10" s="101" customFormat="1" ht="21.95" hidden="1" customHeight="1">
      <c r="A23" s="142"/>
      <c r="B23" s="599" t="s">
        <v>0</v>
      </c>
      <c r="C23" s="599"/>
      <c r="D23" s="599"/>
      <c r="E23" s="599"/>
      <c r="F23" s="599"/>
      <c r="G23" s="269"/>
      <c r="H23" s="104"/>
      <c r="I23" s="104"/>
      <c r="J23" s="104"/>
    </row>
    <row r="24" spans="1:10" s="101" customFormat="1" ht="21.95" hidden="1" customHeight="1">
      <c r="A24" s="142"/>
      <c r="B24" s="600" t="s">
        <v>1571</v>
      </c>
      <c r="C24" s="600"/>
      <c r="D24" s="600"/>
      <c r="E24" s="600"/>
      <c r="F24" s="600"/>
      <c r="G24" s="270"/>
      <c r="H24" s="105"/>
      <c r="I24" s="105"/>
      <c r="J24" s="105"/>
    </row>
    <row r="25" spans="1:10" s="101" customFormat="1" ht="21.95" hidden="1" customHeight="1">
      <c r="A25" s="142"/>
      <c r="B25" s="600" t="s">
        <v>336</v>
      </c>
      <c r="C25" s="600"/>
      <c r="D25" s="600"/>
      <c r="E25" s="600"/>
      <c r="F25" s="600"/>
      <c r="G25" s="270"/>
      <c r="H25" s="105"/>
      <c r="I25" s="105"/>
      <c r="J25" s="105"/>
    </row>
    <row r="26" spans="1:10" s="101" customFormat="1" ht="21.95" customHeight="1">
      <c r="A26" s="142"/>
      <c r="B26" s="599" t="s">
        <v>1466</v>
      </c>
      <c r="C26" s="599"/>
      <c r="D26" s="599"/>
      <c r="E26" s="599"/>
      <c r="F26" s="599"/>
      <c r="G26" s="269"/>
      <c r="H26" s="104"/>
      <c r="I26" s="104"/>
      <c r="J26" s="104"/>
    </row>
    <row r="27" spans="1:10" s="4" customFormat="1" ht="11.25" hidden="1" customHeight="1">
      <c r="A27" s="204"/>
      <c r="B27" s="177"/>
      <c r="C27" s="177"/>
      <c r="D27" s="177"/>
      <c r="E27" s="205"/>
      <c r="F27" s="205"/>
      <c r="G27" s="204"/>
    </row>
    <row r="28" spans="1:10" s="4" customFormat="1" ht="24.95" customHeight="1">
      <c r="A28" s="204"/>
      <c r="B28" s="154"/>
      <c r="C28" s="194"/>
      <c r="D28" s="601">
        <v>2018</v>
      </c>
      <c r="E28" s="601"/>
      <c r="F28" s="601"/>
      <c r="G28" s="204"/>
    </row>
    <row r="29" spans="1:10" s="4" customFormat="1" ht="24.95" customHeight="1">
      <c r="A29" s="204"/>
      <c r="B29" s="154" t="s">
        <v>87</v>
      </c>
      <c r="C29" s="154" t="s">
        <v>693</v>
      </c>
      <c r="D29" s="217" t="s">
        <v>691</v>
      </c>
      <c r="E29" s="217" t="s">
        <v>692</v>
      </c>
      <c r="F29" s="217" t="s">
        <v>93</v>
      </c>
      <c r="G29" s="204"/>
    </row>
    <row r="30" spans="1:10" s="4" customFormat="1" ht="24.95" customHeight="1">
      <c r="A30" s="204"/>
      <c r="B30" s="154"/>
      <c r="C30" s="194"/>
      <c r="D30" s="182" t="s">
        <v>1458</v>
      </c>
      <c r="E30" s="182" t="s">
        <v>1458</v>
      </c>
      <c r="F30" s="182" t="s">
        <v>1458</v>
      </c>
      <c r="G30" s="204"/>
    </row>
    <row r="31" spans="1:10" s="4" customFormat="1" ht="24.95" customHeight="1">
      <c r="A31" s="204"/>
      <c r="B31" s="185">
        <v>1</v>
      </c>
      <c r="C31" s="134" t="s">
        <v>810</v>
      </c>
      <c r="D31" s="13">
        <v>225000000</v>
      </c>
      <c r="E31" s="198">
        <v>300000000</v>
      </c>
      <c r="F31" s="275">
        <f>E31-D31</f>
        <v>75000000</v>
      </c>
      <c r="G31" s="204"/>
    </row>
    <row r="32" spans="1:10" s="10" customFormat="1" ht="24.95" customHeight="1">
      <c r="A32" s="241"/>
      <c r="B32" s="154"/>
      <c r="C32" s="242" t="s">
        <v>65</v>
      </c>
      <c r="D32" s="296">
        <f>D31</f>
        <v>225000000</v>
      </c>
      <c r="E32" s="296">
        <f>E31</f>
        <v>300000000</v>
      </c>
      <c r="F32" s="296">
        <f>F31</f>
        <v>75000000</v>
      </c>
      <c r="G32" s="241"/>
    </row>
    <row r="33" spans="1:7" s="4" customFormat="1" ht="29.25" customHeight="1">
      <c r="A33" s="204"/>
      <c r="B33" s="205"/>
      <c r="C33" s="204"/>
      <c r="D33" s="204"/>
      <c r="E33" s="297"/>
      <c r="F33" s="297"/>
      <c r="G33" s="204"/>
    </row>
    <row r="34" spans="1:7" s="4" customFormat="1" ht="24.95" hidden="1" customHeight="1">
      <c r="A34" s="204"/>
      <c r="B34" s="599" t="s">
        <v>1467</v>
      </c>
      <c r="C34" s="599"/>
      <c r="D34" s="599"/>
      <c r="E34" s="599"/>
      <c r="F34" s="599"/>
      <c r="G34" s="204"/>
    </row>
    <row r="35" spans="1:7" s="4" customFormat="1" ht="14.25" hidden="1" customHeight="1">
      <c r="A35" s="204"/>
      <c r="B35" s="177"/>
      <c r="C35" s="177"/>
      <c r="D35" s="177"/>
      <c r="E35" s="205"/>
      <c r="F35" s="205"/>
      <c r="G35" s="204"/>
    </row>
    <row r="36" spans="1:7" s="4" customFormat="1" ht="24.95" hidden="1" customHeight="1">
      <c r="A36" s="204"/>
      <c r="B36" s="154"/>
      <c r="C36" s="194"/>
      <c r="D36" s="601">
        <v>2018</v>
      </c>
      <c r="E36" s="601"/>
      <c r="F36" s="601"/>
      <c r="G36" s="204"/>
    </row>
    <row r="37" spans="1:7" s="4" customFormat="1" ht="24.95" hidden="1" customHeight="1">
      <c r="A37" s="204"/>
      <c r="B37" s="154" t="s">
        <v>87</v>
      </c>
      <c r="C37" s="154" t="s">
        <v>693</v>
      </c>
      <c r="D37" s="217" t="s">
        <v>691</v>
      </c>
      <c r="E37" s="217" t="s">
        <v>692</v>
      </c>
      <c r="F37" s="217" t="s">
        <v>93</v>
      </c>
      <c r="G37" s="204"/>
    </row>
    <row r="38" spans="1:7" s="4" customFormat="1" ht="24.95" hidden="1" customHeight="1">
      <c r="A38" s="204"/>
      <c r="B38" s="154"/>
      <c r="C38" s="194"/>
      <c r="D38" s="182" t="s">
        <v>1458</v>
      </c>
      <c r="E38" s="182" t="s">
        <v>1458</v>
      </c>
      <c r="F38" s="182" t="s">
        <v>1458</v>
      </c>
      <c r="G38" s="204"/>
    </row>
    <row r="39" spans="1:7" s="4" customFormat="1" ht="24.95" hidden="1" customHeight="1">
      <c r="A39" s="204"/>
      <c r="B39" s="185">
        <v>1</v>
      </c>
      <c r="C39" s="134" t="s">
        <v>1411</v>
      </c>
      <c r="D39" s="13">
        <v>0</v>
      </c>
      <c r="E39" s="155">
        <v>0</v>
      </c>
      <c r="F39" s="275">
        <f>E39-D39</f>
        <v>0</v>
      </c>
      <c r="G39" s="204"/>
    </row>
    <row r="40" spans="1:7" s="10" customFormat="1" ht="24.95" hidden="1" customHeight="1">
      <c r="A40" s="241"/>
      <c r="B40" s="154"/>
      <c r="C40" s="292" t="s">
        <v>65</v>
      </c>
      <c r="D40" s="293">
        <f>SUM(D39)</f>
        <v>0</v>
      </c>
      <c r="E40" s="293">
        <f>SUM(E39)</f>
        <v>0</v>
      </c>
      <c r="F40" s="293">
        <f>SUM(F39)</f>
        <v>0</v>
      </c>
      <c r="G40" s="241"/>
    </row>
    <row r="41" spans="1:7" hidden="1"/>
    <row r="42" spans="1:7" hidden="1"/>
  </sheetData>
  <mergeCells count="14">
    <mergeCell ref="B26:F26"/>
    <mergeCell ref="D28:F28"/>
    <mergeCell ref="B34:F34"/>
    <mergeCell ref="D36:F36"/>
    <mergeCell ref="B1:F1"/>
    <mergeCell ref="B2:F2"/>
    <mergeCell ref="B3:F3"/>
    <mergeCell ref="B4:F4"/>
    <mergeCell ref="D5:F5"/>
    <mergeCell ref="D16:F16"/>
    <mergeCell ref="B15:F15"/>
    <mergeCell ref="B23:F23"/>
    <mergeCell ref="B24:F24"/>
    <mergeCell ref="B25:F25"/>
  </mergeCells>
  <pageMargins left="0.5" right="0.5" top="0.75" bottom="0.25" header="0.3" footer="0.5"/>
  <pageSetup paperSize="9" firstPageNumber="95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"/>
  <sheetViews>
    <sheetView topLeftCell="A4" workbookViewId="0">
      <selection activeCell="E108" sqref="E108"/>
    </sheetView>
  </sheetViews>
  <sheetFormatPr defaultRowHeight="15"/>
  <cols>
    <col min="1" max="1" width="2.85546875" style="142" customWidth="1"/>
    <col min="2" max="2" width="9.42578125" style="191" customWidth="1"/>
    <col min="3" max="3" width="17.28515625" style="171" customWidth="1"/>
    <col min="4" max="4" width="11.85546875" style="170" customWidth="1"/>
    <col min="5" max="5" width="37.7109375" style="302" customWidth="1"/>
    <col min="6" max="7" width="17.42578125" style="302" customWidth="1"/>
    <col min="8" max="8" width="18.42578125" style="303" customWidth="1"/>
    <col min="9" max="10" width="14.42578125" style="171" hidden="1" customWidth="1"/>
    <col min="11" max="11" width="15" style="142" hidden="1" customWidth="1"/>
    <col min="12" max="12" width="9.140625" style="142"/>
    <col min="13" max="13" width="18" bestFit="1" customWidth="1"/>
  </cols>
  <sheetData>
    <row r="1" spans="1:12" s="101" customFormat="1" ht="21.95" hidden="1" customHeight="1">
      <c r="A1" s="142"/>
      <c r="B1" s="599" t="s">
        <v>0</v>
      </c>
      <c r="C1" s="599"/>
      <c r="D1" s="599"/>
      <c r="E1" s="599"/>
      <c r="F1" s="599"/>
      <c r="G1" s="599"/>
      <c r="H1" s="599"/>
      <c r="I1" s="171"/>
      <c r="J1" s="171"/>
      <c r="K1" s="142"/>
      <c r="L1" s="142"/>
    </row>
    <row r="2" spans="1:12" s="101" customFormat="1" ht="21.95" hidden="1" customHeight="1">
      <c r="A2" s="142"/>
      <c r="B2" s="600" t="s">
        <v>1571</v>
      </c>
      <c r="C2" s="600"/>
      <c r="D2" s="600"/>
      <c r="E2" s="600"/>
      <c r="F2" s="600"/>
      <c r="G2" s="600"/>
      <c r="H2" s="600"/>
      <c r="I2" s="171"/>
      <c r="J2" s="171"/>
      <c r="K2" s="142"/>
      <c r="L2" s="142"/>
    </row>
    <row r="3" spans="1:12" ht="21.95" hidden="1" customHeight="1">
      <c r="B3" s="600" t="s">
        <v>336</v>
      </c>
      <c r="C3" s="600"/>
      <c r="D3" s="600"/>
      <c r="E3" s="600"/>
      <c r="F3" s="600"/>
      <c r="G3" s="600"/>
      <c r="H3" s="600"/>
      <c r="I3" s="298"/>
      <c r="J3" s="298"/>
      <c r="K3" s="298"/>
    </row>
    <row r="4" spans="1:12" ht="21.95" customHeight="1">
      <c r="B4" s="599" t="s">
        <v>2021</v>
      </c>
      <c r="C4" s="599"/>
      <c r="D4" s="599"/>
      <c r="E4" s="599"/>
      <c r="F4" s="599"/>
      <c r="G4" s="599"/>
      <c r="H4" s="599"/>
      <c r="I4" s="299"/>
      <c r="J4" s="299"/>
      <c r="K4" s="299"/>
    </row>
    <row r="5" spans="1:12" ht="12.75" customHeight="1">
      <c r="B5" s="300"/>
      <c r="C5" s="301"/>
    </row>
    <row r="6" spans="1:12" ht="21" customHeight="1">
      <c r="B6" s="304" t="s">
        <v>87</v>
      </c>
      <c r="C6" s="305" t="s">
        <v>88</v>
      </c>
      <c r="D6" s="305" t="s">
        <v>89</v>
      </c>
      <c r="E6" s="305" t="s">
        <v>337</v>
      </c>
      <c r="F6" s="304" t="s">
        <v>92</v>
      </c>
      <c r="G6" s="306" t="s">
        <v>91</v>
      </c>
      <c r="H6" s="304" t="s">
        <v>93</v>
      </c>
      <c r="I6" s="307"/>
      <c r="J6" s="308"/>
      <c r="K6" s="309"/>
    </row>
    <row r="7" spans="1:12" ht="21" customHeight="1">
      <c r="B7" s="141"/>
      <c r="C7" s="242"/>
      <c r="D7" s="242"/>
      <c r="E7" s="242"/>
      <c r="F7" s="182" t="s">
        <v>1458</v>
      </c>
      <c r="G7" s="182" t="s">
        <v>1458</v>
      </c>
      <c r="H7" s="182" t="s">
        <v>1458</v>
      </c>
      <c r="I7" s="310"/>
      <c r="J7" s="310"/>
      <c r="K7" s="310"/>
    </row>
    <row r="8" spans="1:12" ht="21" customHeight="1">
      <c r="B8" s="141"/>
      <c r="C8" s="242"/>
      <c r="D8" s="242"/>
      <c r="E8" s="311" t="s">
        <v>90</v>
      </c>
      <c r="F8" s="242"/>
      <c r="G8" s="242"/>
      <c r="H8" s="242"/>
      <c r="I8" s="310"/>
      <c r="J8" s="310"/>
      <c r="K8" s="310"/>
    </row>
    <row r="9" spans="1:12" ht="21" customHeight="1">
      <c r="B9" s="143">
        <v>1</v>
      </c>
      <c r="C9" s="56">
        <v>11100100100</v>
      </c>
      <c r="D9" s="57" t="s">
        <v>94</v>
      </c>
      <c r="E9" s="312" t="s">
        <v>95</v>
      </c>
      <c r="F9" s="313">
        <v>111208941.31999999</v>
      </c>
      <c r="G9" s="313">
        <v>146922354.30000001</v>
      </c>
      <c r="H9" s="162">
        <f>G9-F9</f>
        <v>35713412.980000019</v>
      </c>
      <c r="I9" s="24"/>
      <c r="J9" s="24"/>
      <c r="K9" s="314"/>
    </row>
    <row r="10" spans="1:12" ht="21" customHeight="1">
      <c r="B10" s="143">
        <v>2</v>
      </c>
      <c r="C10" s="58" t="s">
        <v>96</v>
      </c>
      <c r="D10" s="57" t="s">
        <v>97</v>
      </c>
      <c r="E10" s="312" t="s">
        <v>1991</v>
      </c>
      <c r="F10" s="313">
        <v>40816096.93</v>
      </c>
      <c r="G10" s="313">
        <v>54968843.390000001</v>
      </c>
      <c r="H10" s="162">
        <f t="shared" ref="H10:H56" si="0">G10-F10</f>
        <v>14152746.460000001</v>
      </c>
      <c r="I10" s="24"/>
      <c r="J10" s="24"/>
      <c r="K10" s="314"/>
    </row>
    <row r="11" spans="1:12" ht="21" customHeight="1">
      <c r="B11" s="143">
        <v>3</v>
      </c>
      <c r="C11" s="58" t="s">
        <v>99</v>
      </c>
      <c r="D11" s="57" t="s">
        <v>100</v>
      </c>
      <c r="E11" s="312" t="s">
        <v>101</v>
      </c>
      <c r="F11" s="313">
        <v>8062914.7000000002</v>
      </c>
      <c r="G11" s="313">
        <v>15276507.75</v>
      </c>
      <c r="H11" s="162">
        <f t="shared" si="0"/>
        <v>7213593.0499999998</v>
      </c>
      <c r="I11" s="24"/>
      <c r="J11" s="24"/>
      <c r="K11" s="314"/>
    </row>
    <row r="12" spans="1:12" ht="21" customHeight="1">
      <c r="B12" s="143">
        <v>4</v>
      </c>
      <c r="C12" s="58" t="s">
        <v>102</v>
      </c>
      <c r="D12" s="57" t="s">
        <v>103</v>
      </c>
      <c r="E12" s="312" t="s">
        <v>1929</v>
      </c>
      <c r="F12" s="313">
        <v>15003070.789999999</v>
      </c>
      <c r="G12" s="313">
        <v>16017042.77</v>
      </c>
      <c r="H12" s="162">
        <f t="shared" si="0"/>
        <v>1013971.9800000004</v>
      </c>
      <c r="I12" s="24"/>
      <c r="J12" s="24"/>
      <c r="K12" s="314"/>
    </row>
    <row r="13" spans="1:12" ht="21" customHeight="1">
      <c r="B13" s="143">
        <v>5</v>
      </c>
      <c r="C13" s="58" t="s">
        <v>105</v>
      </c>
      <c r="D13" s="57" t="s">
        <v>106</v>
      </c>
      <c r="E13" s="312" t="s">
        <v>107</v>
      </c>
      <c r="F13" s="313">
        <v>54863577.600000001</v>
      </c>
      <c r="G13" s="313">
        <v>43048788.350000001</v>
      </c>
      <c r="H13" s="162">
        <f t="shared" si="0"/>
        <v>-11814789.25</v>
      </c>
      <c r="I13" s="24"/>
      <c r="J13" s="24"/>
      <c r="K13" s="314"/>
    </row>
    <row r="14" spans="1:12" ht="21" customHeight="1">
      <c r="B14" s="143">
        <v>6</v>
      </c>
      <c r="C14" s="58" t="s">
        <v>105</v>
      </c>
      <c r="D14" s="57" t="s">
        <v>108</v>
      </c>
      <c r="E14" s="312" t="s">
        <v>1481</v>
      </c>
      <c r="F14" s="313">
        <v>517362863.74000001</v>
      </c>
      <c r="G14" s="313">
        <v>851641200.57000005</v>
      </c>
      <c r="H14" s="162">
        <f t="shared" si="0"/>
        <v>334278336.83000004</v>
      </c>
      <c r="I14" s="24"/>
      <c r="J14" s="24"/>
      <c r="K14" s="314"/>
    </row>
    <row r="15" spans="1:12" ht="21" customHeight="1">
      <c r="B15" s="143">
        <v>7</v>
      </c>
      <c r="C15" s="58" t="s">
        <v>110</v>
      </c>
      <c r="D15" s="57" t="s">
        <v>111</v>
      </c>
      <c r="E15" s="312" t="s">
        <v>112</v>
      </c>
      <c r="F15" s="315">
        <v>7578136.3700000001</v>
      </c>
      <c r="G15" s="315">
        <v>15525044.710000001</v>
      </c>
      <c r="H15" s="162">
        <f t="shared" si="0"/>
        <v>7946908.3400000008</v>
      </c>
      <c r="I15" s="24"/>
      <c r="J15" s="24"/>
      <c r="K15" s="314"/>
    </row>
    <row r="16" spans="1:12" ht="21" customHeight="1">
      <c r="B16" s="143">
        <v>8</v>
      </c>
      <c r="C16" s="58" t="s">
        <v>113</v>
      </c>
      <c r="D16" s="57" t="s">
        <v>114</v>
      </c>
      <c r="E16" s="312" t="s">
        <v>115</v>
      </c>
      <c r="F16" s="315">
        <v>10431570.18</v>
      </c>
      <c r="G16" s="315">
        <v>15945744.449999999</v>
      </c>
      <c r="H16" s="162">
        <f t="shared" si="0"/>
        <v>5514174.2699999996</v>
      </c>
      <c r="I16" s="24"/>
      <c r="J16" s="24"/>
      <c r="K16" s="314"/>
    </row>
    <row r="17" spans="1:12" ht="21" customHeight="1">
      <c r="B17" s="143">
        <v>9</v>
      </c>
      <c r="C17" s="58" t="s">
        <v>116</v>
      </c>
      <c r="D17" s="57" t="s">
        <v>117</v>
      </c>
      <c r="E17" s="312" t="s">
        <v>118</v>
      </c>
      <c r="F17" s="315">
        <v>8697851.9199999999</v>
      </c>
      <c r="G17" s="315">
        <v>17206254.41</v>
      </c>
      <c r="H17" s="162">
        <f t="shared" si="0"/>
        <v>8508402.4900000002</v>
      </c>
      <c r="I17" s="24"/>
      <c r="J17" s="24"/>
      <c r="K17" s="314"/>
    </row>
    <row r="18" spans="1:12" ht="21" customHeight="1">
      <c r="B18" s="143">
        <v>10</v>
      </c>
      <c r="C18" s="58" t="s">
        <v>119</v>
      </c>
      <c r="D18" s="57" t="s">
        <v>120</v>
      </c>
      <c r="E18" s="312" t="s">
        <v>121</v>
      </c>
      <c r="F18" s="315">
        <v>12924761.689999999</v>
      </c>
      <c r="G18" s="315">
        <v>19393964.699999999</v>
      </c>
      <c r="H18" s="162">
        <f t="shared" si="0"/>
        <v>6469203.0099999998</v>
      </c>
      <c r="I18" s="24"/>
      <c r="J18" s="24"/>
      <c r="K18" s="314"/>
    </row>
    <row r="19" spans="1:12" ht="21" customHeight="1">
      <c r="B19" s="143">
        <v>11</v>
      </c>
      <c r="C19" s="58" t="s">
        <v>122</v>
      </c>
      <c r="D19" s="57" t="s">
        <v>123</v>
      </c>
      <c r="E19" s="312" t="s">
        <v>124</v>
      </c>
      <c r="F19" s="315">
        <v>0</v>
      </c>
      <c r="G19" s="315">
        <v>89559.86</v>
      </c>
      <c r="H19" s="162">
        <f t="shared" si="0"/>
        <v>89559.86</v>
      </c>
      <c r="I19" s="24"/>
      <c r="J19" s="24"/>
      <c r="K19" s="314"/>
    </row>
    <row r="20" spans="1:12" ht="21" customHeight="1">
      <c r="B20" s="143">
        <v>12</v>
      </c>
      <c r="C20" s="58" t="s">
        <v>125</v>
      </c>
      <c r="D20" s="57" t="s">
        <v>126</v>
      </c>
      <c r="E20" s="312" t="s">
        <v>828</v>
      </c>
      <c r="F20" s="315">
        <v>126928523.70999999</v>
      </c>
      <c r="G20" s="315">
        <v>164956503.91999999</v>
      </c>
      <c r="H20" s="162">
        <f t="shared" si="0"/>
        <v>38027980.209999993</v>
      </c>
      <c r="I20" s="24"/>
      <c r="J20" s="24"/>
      <c r="K20" s="314"/>
    </row>
    <row r="21" spans="1:12" ht="21" customHeight="1">
      <c r="B21" s="143">
        <v>13</v>
      </c>
      <c r="C21" s="58" t="s">
        <v>128</v>
      </c>
      <c r="D21" s="57" t="s">
        <v>129</v>
      </c>
      <c r="E21" s="316" t="s">
        <v>130</v>
      </c>
      <c r="F21" s="315">
        <v>33055393.309999999</v>
      </c>
      <c r="G21" s="315">
        <v>49726623.590000004</v>
      </c>
      <c r="H21" s="162">
        <f t="shared" si="0"/>
        <v>16671230.280000005</v>
      </c>
      <c r="I21" s="317"/>
      <c r="J21" s="317"/>
      <c r="K21" s="317"/>
    </row>
    <row r="22" spans="1:12" s="4" customFormat="1" ht="21" customHeight="1">
      <c r="A22" s="204"/>
      <c r="B22" s="143">
        <v>14</v>
      </c>
      <c r="C22" s="58" t="s">
        <v>131</v>
      </c>
      <c r="D22" s="57" t="s">
        <v>132</v>
      </c>
      <c r="E22" s="316" t="s">
        <v>133</v>
      </c>
      <c r="F22" s="315">
        <v>3983692.1</v>
      </c>
      <c r="G22" s="315">
        <v>18338382.48</v>
      </c>
      <c r="H22" s="162">
        <f t="shared" si="0"/>
        <v>14354690.380000001</v>
      </c>
      <c r="I22" s="251"/>
      <c r="J22" s="251"/>
      <c r="K22" s="204"/>
      <c r="L22" s="204"/>
    </row>
    <row r="23" spans="1:12" s="26" customFormat="1" ht="21" customHeight="1">
      <c r="A23" s="263"/>
      <c r="B23" s="143">
        <v>15</v>
      </c>
      <c r="C23" s="58" t="s">
        <v>134</v>
      </c>
      <c r="D23" s="57" t="s">
        <v>135</v>
      </c>
      <c r="E23" s="316" t="s">
        <v>136</v>
      </c>
      <c r="F23" s="315">
        <v>369170659.02999997</v>
      </c>
      <c r="G23" s="315">
        <v>486770123.80000001</v>
      </c>
      <c r="H23" s="162">
        <f t="shared" si="0"/>
        <v>117599464.77000004</v>
      </c>
      <c r="I23" s="263"/>
      <c r="J23" s="263"/>
      <c r="K23" s="263"/>
      <c r="L23" s="263"/>
    </row>
    <row r="24" spans="1:12" s="26" customFormat="1" ht="21" customHeight="1">
      <c r="A24" s="263"/>
      <c r="B24" s="143">
        <v>16</v>
      </c>
      <c r="C24" s="58" t="s">
        <v>137</v>
      </c>
      <c r="D24" s="57" t="s">
        <v>138</v>
      </c>
      <c r="E24" s="316" t="s">
        <v>909</v>
      </c>
      <c r="F24" s="315">
        <v>100070103.81</v>
      </c>
      <c r="G24" s="315">
        <v>120965562.93000001</v>
      </c>
      <c r="H24" s="162">
        <f t="shared" si="0"/>
        <v>20895459.120000005</v>
      </c>
      <c r="I24" s="263"/>
      <c r="J24" s="263"/>
      <c r="K24" s="263"/>
      <c r="L24" s="263"/>
    </row>
    <row r="25" spans="1:12" s="26" customFormat="1" ht="21" customHeight="1">
      <c r="A25" s="263"/>
      <c r="B25" s="143">
        <v>17</v>
      </c>
      <c r="C25" s="58" t="s">
        <v>140</v>
      </c>
      <c r="D25" s="57" t="s">
        <v>141</v>
      </c>
      <c r="E25" s="316" t="s">
        <v>142</v>
      </c>
      <c r="F25" s="315">
        <v>177680418.25</v>
      </c>
      <c r="G25" s="315">
        <v>194793745.31999999</v>
      </c>
      <c r="H25" s="162">
        <f t="shared" si="0"/>
        <v>17113327.069999993</v>
      </c>
      <c r="I25" s="263"/>
      <c r="J25" s="263"/>
      <c r="K25" s="263"/>
      <c r="L25" s="263"/>
    </row>
    <row r="26" spans="1:12" s="26" customFormat="1" ht="21" customHeight="1">
      <c r="A26" s="263"/>
      <c r="B26" s="143">
        <v>18</v>
      </c>
      <c r="C26" s="58" t="s">
        <v>143</v>
      </c>
      <c r="D26" s="57" t="s">
        <v>144</v>
      </c>
      <c r="E26" s="316" t="s">
        <v>145</v>
      </c>
      <c r="F26" s="315">
        <v>83853132.459999993</v>
      </c>
      <c r="G26" s="315">
        <v>100000000</v>
      </c>
      <c r="H26" s="162">
        <f t="shared" si="0"/>
        <v>16146867.540000007</v>
      </c>
      <c r="I26" s="263"/>
      <c r="J26" s="263"/>
      <c r="K26" s="263"/>
      <c r="L26" s="263"/>
    </row>
    <row r="27" spans="1:12" s="26" customFormat="1" ht="21" customHeight="1">
      <c r="A27" s="263"/>
      <c r="B27" s="143">
        <v>19</v>
      </c>
      <c r="C27" s="58" t="s">
        <v>146</v>
      </c>
      <c r="D27" s="57" t="s">
        <v>147</v>
      </c>
      <c r="E27" s="316" t="s">
        <v>148</v>
      </c>
      <c r="F27" s="315">
        <v>79249648.739999995</v>
      </c>
      <c r="G27" s="315">
        <v>97606936.310000002</v>
      </c>
      <c r="H27" s="162">
        <f t="shared" si="0"/>
        <v>18357287.570000008</v>
      </c>
      <c r="I27" s="263"/>
      <c r="J27" s="263"/>
      <c r="K27" s="263"/>
      <c r="L27" s="263"/>
    </row>
    <row r="28" spans="1:12" s="26" customFormat="1" ht="21" customHeight="1">
      <c r="A28" s="263"/>
      <c r="B28" s="143">
        <v>20</v>
      </c>
      <c r="C28" s="58" t="s">
        <v>146</v>
      </c>
      <c r="D28" s="57" t="s">
        <v>149</v>
      </c>
      <c r="E28" s="316" t="s">
        <v>150</v>
      </c>
      <c r="F28" s="315">
        <v>39441358.350000001</v>
      </c>
      <c r="G28" s="263">
        <v>61845153.579999998</v>
      </c>
      <c r="H28" s="162">
        <f t="shared" si="0"/>
        <v>22403795.229999997</v>
      </c>
      <c r="I28" s="263"/>
      <c r="J28" s="263"/>
      <c r="K28" s="263"/>
      <c r="L28" s="263"/>
    </row>
    <row r="29" spans="1:12" s="26" customFormat="1" ht="21" customHeight="1">
      <c r="A29" s="263"/>
      <c r="B29" s="143">
        <v>21</v>
      </c>
      <c r="C29" s="58" t="s">
        <v>151</v>
      </c>
      <c r="D29" s="57" t="s">
        <v>152</v>
      </c>
      <c r="E29" s="318" t="s">
        <v>153</v>
      </c>
      <c r="F29" s="315">
        <v>41402317.780000001</v>
      </c>
      <c r="G29" s="315">
        <v>55883386.100000001</v>
      </c>
      <c r="H29" s="162">
        <f t="shared" si="0"/>
        <v>14481068.32</v>
      </c>
      <c r="I29" s="263"/>
      <c r="J29" s="263"/>
      <c r="K29" s="263"/>
      <c r="L29" s="263"/>
    </row>
    <row r="30" spans="1:12" s="26" customFormat="1" ht="21" customHeight="1">
      <c r="A30" s="263"/>
      <c r="B30" s="143">
        <v>22</v>
      </c>
      <c r="C30" s="58" t="s">
        <v>154</v>
      </c>
      <c r="D30" s="57" t="s">
        <v>155</v>
      </c>
      <c r="E30" s="316" t="s">
        <v>156</v>
      </c>
      <c r="F30" s="315">
        <v>1162485.3400000001</v>
      </c>
      <c r="G30" s="315">
        <v>1215152.04</v>
      </c>
      <c r="H30" s="162">
        <f t="shared" si="0"/>
        <v>52666.699999999953</v>
      </c>
      <c r="I30" s="263"/>
      <c r="J30" s="263"/>
      <c r="K30" s="263"/>
      <c r="L30" s="263"/>
    </row>
    <row r="31" spans="1:12" s="26" customFormat="1" ht="21" customHeight="1">
      <c r="A31" s="263"/>
      <c r="B31" s="143">
        <v>23</v>
      </c>
      <c r="C31" s="59" t="s">
        <v>157</v>
      </c>
      <c r="D31" s="57" t="s">
        <v>158</v>
      </c>
      <c r="E31" s="316" t="s">
        <v>159</v>
      </c>
      <c r="F31" s="315">
        <v>62354736.659999996</v>
      </c>
      <c r="G31" s="315">
        <v>77162154.5</v>
      </c>
      <c r="H31" s="162">
        <f t="shared" si="0"/>
        <v>14807417.840000004</v>
      </c>
      <c r="I31" s="263"/>
      <c r="J31" s="263"/>
      <c r="K31" s="263"/>
      <c r="L31" s="263"/>
    </row>
    <row r="32" spans="1:12" s="4" customFormat="1" ht="21" customHeight="1">
      <c r="A32" s="204"/>
      <c r="B32" s="143"/>
      <c r="C32" s="319"/>
      <c r="D32" s="143"/>
      <c r="E32" s="320" t="s">
        <v>160</v>
      </c>
      <c r="F32" s="321">
        <f>SUM(F9:F31)</f>
        <v>1905302254.7799997</v>
      </c>
      <c r="G32" s="321">
        <f>SUM(G9:G31)</f>
        <v>2625299029.8299999</v>
      </c>
      <c r="H32" s="321">
        <f>SUM(H9:H31)</f>
        <v>719996775.05000031</v>
      </c>
      <c r="I32" s="251"/>
      <c r="J32" s="251"/>
      <c r="K32" s="204"/>
      <c r="L32" s="204"/>
    </row>
    <row r="33" spans="1:12" s="4" customFormat="1" ht="21" customHeight="1">
      <c r="A33" s="204"/>
      <c r="B33" s="141"/>
      <c r="C33" s="322"/>
      <c r="D33" s="143"/>
      <c r="E33" s="320" t="s">
        <v>161</v>
      </c>
      <c r="F33" s="143"/>
      <c r="G33" s="143"/>
      <c r="H33" s="162"/>
      <c r="I33" s="251"/>
      <c r="J33" s="251"/>
      <c r="K33" s="204"/>
      <c r="L33" s="204"/>
    </row>
    <row r="34" spans="1:12" s="26" customFormat="1" ht="21" customHeight="1">
      <c r="A34" s="263"/>
      <c r="B34" s="143">
        <v>24</v>
      </c>
      <c r="C34" s="59" t="s">
        <v>162</v>
      </c>
      <c r="D34" s="57" t="s">
        <v>163</v>
      </c>
      <c r="E34" s="316" t="s">
        <v>164</v>
      </c>
      <c r="F34" s="315">
        <v>405968032.35000002</v>
      </c>
      <c r="G34" s="315">
        <v>486162753.98000002</v>
      </c>
      <c r="H34" s="162">
        <f t="shared" si="0"/>
        <v>80194721.629999995</v>
      </c>
      <c r="I34" s="263"/>
      <c r="J34" s="263"/>
      <c r="K34" s="263"/>
      <c r="L34" s="263"/>
    </row>
    <row r="35" spans="1:12" s="26" customFormat="1" ht="21" customHeight="1">
      <c r="A35" s="263"/>
      <c r="B35" s="143">
        <v>25</v>
      </c>
      <c r="C35" s="58" t="s">
        <v>165</v>
      </c>
      <c r="D35" s="57" t="s">
        <v>166</v>
      </c>
      <c r="E35" s="316" t="s">
        <v>167</v>
      </c>
      <c r="F35" s="315">
        <v>7842189.3300000001</v>
      </c>
      <c r="G35" s="315">
        <v>19999603.539999999</v>
      </c>
      <c r="H35" s="162">
        <f t="shared" si="0"/>
        <v>12157414.209999999</v>
      </c>
      <c r="I35" s="263"/>
      <c r="J35" s="263"/>
      <c r="K35" s="263"/>
      <c r="L35" s="263"/>
    </row>
    <row r="36" spans="1:12" s="26" customFormat="1" ht="21" customHeight="1">
      <c r="A36" s="263"/>
      <c r="B36" s="143">
        <v>26</v>
      </c>
      <c r="C36" s="59" t="s">
        <v>168</v>
      </c>
      <c r="D36" s="57" t="s">
        <v>169</v>
      </c>
      <c r="E36" s="316" t="s">
        <v>170</v>
      </c>
      <c r="F36" s="315">
        <v>159350996.94</v>
      </c>
      <c r="G36" s="315">
        <v>194938383.72999999</v>
      </c>
      <c r="H36" s="162">
        <f t="shared" si="0"/>
        <v>35587386.789999992</v>
      </c>
      <c r="I36" s="263"/>
      <c r="J36" s="263"/>
      <c r="K36" s="263"/>
      <c r="L36" s="263"/>
    </row>
    <row r="37" spans="1:12" s="26" customFormat="1" ht="21" customHeight="1">
      <c r="A37" s="263"/>
      <c r="B37" s="143">
        <v>27</v>
      </c>
      <c r="C37" s="58" t="s">
        <v>171</v>
      </c>
      <c r="D37" s="57" t="s">
        <v>172</v>
      </c>
      <c r="E37" s="316" t="s">
        <v>173</v>
      </c>
      <c r="F37" s="315">
        <v>22663417.93</v>
      </c>
      <c r="G37" s="315">
        <v>33052135.469999999</v>
      </c>
      <c r="H37" s="162">
        <f t="shared" si="0"/>
        <v>10388717.539999999</v>
      </c>
      <c r="I37" s="263"/>
      <c r="J37" s="263"/>
      <c r="K37" s="263"/>
      <c r="L37" s="263"/>
    </row>
    <row r="38" spans="1:12" s="26" customFormat="1" ht="21" customHeight="1">
      <c r="A38" s="263"/>
      <c r="B38" s="143">
        <v>28</v>
      </c>
      <c r="C38" s="59" t="s">
        <v>174</v>
      </c>
      <c r="D38" s="57" t="s">
        <v>175</v>
      </c>
      <c r="E38" s="316" t="s">
        <v>176</v>
      </c>
      <c r="F38" s="315">
        <v>207019449.27000001</v>
      </c>
      <c r="G38" s="315">
        <v>267874200.49000001</v>
      </c>
      <c r="H38" s="162">
        <f t="shared" si="0"/>
        <v>60854751.219999999</v>
      </c>
      <c r="I38" s="263"/>
      <c r="J38" s="263"/>
      <c r="K38" s="263"/>
      <c r="L38" s="263"/>
    </row>
    <row r="39" spans="1:12" s="27" customFormat="1" ht="21" customHeight="1">
      <c r="A39" s="265"/>
      <c r="B39" s="143">
        <v>29</v>
      </c>
      <c r="C39" s="58" t="s">
        <v>177</v>
      </c>
      <c r="D39" s="57" t="s">
        <v>178</v>
      </c>
      <c r="E39" s="312" t="s">
        <v>179</v>
      </c>
      <c r="F39" s="315">
        <v>167246578.15000001</v>
      </c>
      <c r="G39" s="315">
        <v>206741931</v>
      </c>
      <c r="H39" s="162">
        <f t="shared" si="0"/>
        <v>39495352.849999994</v>
      </c>
      <c r="I39" s="265"/>
      <c r="J39" s="265"/>
      <c r="K39" s="265"/>
      <c r="L39" s="265"/>
    </row>
    <row r="40" spans="1:12" s="27" customFormat="1" ht="21" customHeight="1">
      <c r="A40" s="265"/>
      <c r="B40" s="143">
        <v>30</v>
      </c>
      <c r="C40" s="58" t="s">
        <v>183</v>
      </c>
      <c r="D40" s="57" t="s">
        <v>184</v>
      </c>
      <c r="E40" s="316" t="s">
        <v>185</v>
      </c>
      <c r="F40" s="315">
        <v>317314.61</v>
      </c>
      <c r="G40" s="315">
        <v>2445047.19</v>
      </c>
      <c r="H40" s="162">
        <f t="shared" si="0"/>
        <v>2127732.58</v>
      </c>
      <c r="I40" s="265"/>
      <c r="J40" s="265"/>
      <c r="K40" s="265"/>
      <c r="L40" s="265"/>
    </row>
    <row r="41" spans="1:12" s="27" customFormat="1" ht="21" customHeight="1">
      <c r="A41" s="265"/>
      <c r="B41" s="143">
        <v>31</v>
      </c>
      <c r="C41" s="59" t="s">
        <v>186</v>
      </c>
      <c r="D41" s="57" t="s">
        <v>187</v>
      </c>
      <c r="E41" s="316" t="s">
        <v>188</v>
      </c>
      <c r="F41" s="315">
        <v>173660069.80000001</v>
      </c>
      <c r="G41" s="315">
        <v>222127017.91999999</v>
      </c>
      <c r="H41" s="162">
        <f t="shared" si="0"/>
        <v>48466948.119999975</v>
      </c>
      <c r="I41" s="265"/>
      <c r="J41" s="265"/>
      <c r="K41" s="265"/>
      <c r="L41" s="265"/>
    </row>
    <row r="42" spans="1:12" s="27" customFormat="1" ht="21" customHeight="1">
      <c r="A42" s="265"/>
      <c r="B42" s="143">
        <v>32</v>
      </c>
      <c r="C42" s="58" t="s">
        <v>189</v>
      </c>
      <c r="D42" s="57" t="s">
        <v>190</v>
      </c>
      <c r="E42" s="316" t="s">
        <v>191</v>
      </c>
      <c r="F42" s="315">
        <v>31300755.57</v>
      </c>
      <c r="G42" s="315">
        <v>37662940.850000001</v>
      </c>
      <c r="H42" s="162">
        <f t="shared" si="0"/>
        <v>6362185.2800000012</v>
      </c>
      <c r="I42" s="265"/>
      <c r="J42" s="265"/>
      <c r="K42" s="265"/>
      <c r="L42" s="265"/>
    </row>
    <row r="43" spans="1:12" s="27" customFormat="1" ht="21" customHeight="1">
      <c r="A43" s="265"/>
      <c r="B43" s="143">
        <v>33</v>
      </c>
      <c r="C43" s="58" t="s">
        <v>192</v>
      </c>
      <c r="D43" s="57" t="s">
        <v>193</v>
      </c>
      <c r="E43" s="316" t="s">
        <v>194</v>
      </c>
      <c r="F43" s="315">
        <v>9821312.5500000007</v>
      </c>
      <c r="G43" s="315">
        <v>12046136.779999999</v>
      </c>
      <c r="H43" s="162">
        <f t="shared" si="0"/>
        <v>2224824.2299999986</v>
      </c>
      <c r="I43" s="265"/>
      <c r="J43" s="265"/>
      <c r="K43" s="265"/>
      <c r="L43" s="265"/>
    </row>
    <row r="44" spans="1:12" s="27" customFormat="1" ht="21" customHeight="1">
      <c r="A44" s="265"/>
      <c r="B44" s="143">
        <v>34</v>
      </c>
      <c r="C44" s="58" t="s">
        <v>195</v>
      </c>
      <c r="D44" s="57" t="s">
        <v>196</v>
      </c>
      <c r="E44" s="316" t="s">
        <v>197</v>
      </c>
      <c r="F44" s="315">
        <v>64989797.560000002</v>
      </c>
      <c r="G44" s="315">
        <v>82630338.680000007</v>
      </c>
      <c r="H44" s="162">
        <f t="shared" si="0"/>
        <v>17640541.120000005</v>
      </c>
      <c r="I44" s="265"/>
      <c r="J44" s="265"/>
      <c r="K44" s="265"/>
      <c r="L44" s="265"/>
    </row>
    <row r="45" spans="1:12" s="27" customFormat="1" ht="21" customHeight="1">
      <c r="A45" s="265"/>
      <c r="B45" s="143">
        <v>35</v>
      </c>
      <c r="C45" s="58" t="s">
        <v>203</v>
      </c>
      <c r="D45" s="57" t="s">
        <v>204</v>
      </c>
      <c r="E45" s="316" t="s">
        <v>205</v>
      </c>
      <c r="F45" s="315">
        <v>262977191.65000001</v>
      </c>
      <c r="G45" s="315">
        <v>317106326.23000002</v>
      </c>
      <c r="H45" s="162">
        <f t="shared" si="0"/>
        <v>54129134.580000013</v>
      </c>
      <c r="I45" s="265"/>
      <c r="J45" s="265"/>
      <c r="K45" s="265"/>
      <c r="L45" s="265"/>
    </row>
    <row r="46" spans="1:12" s="27" customFormat="1" ht="21" customHeight="1">
      <c r="A46" s="265"/>
      <c r="B46" s="143">
        <v>36</v>
      </c>
      <c r="C46" s="58" t="s">
        <v>206</v>
      </c>
      <c r="D46" s="57" t="s">
        <v>207</v>
      </c>
      <c r="E46" s="316" t="s">
        <v>208</v>
      </c>
      <c r="F46" s="315">
        <v>23738247.390000001</v>
      </c>
      <c r="G46" s="315">
        <v>32140950.039999999</v>
      </c>
      <c r="H46" s="162">
        <f t="shared" si="0"/>
        <v>8402702.6499999985</v>
      </c>
      <c r="I46" s="265"/>
      <c r="J46" s="265"/>
      <c r="K46" s="265"/>
      <c r="L46" s="265"/>
    </row>
    <row r="47" spans="1:12" s="27" customFormat="1" ht="21" customHeight="1">
      <c r="A47" s="265"/>
      <c r="B47" s="143">
        <v>37</v>
      </c>
      <c r="C47" s="58" t="s">
        <v>209</v>
      </c>
      <c r="D47" s="57" t="s">
        <v>210</v>
      </c>
      <c r="E47" s="316" t="s">
        <v>211</v>
      </c>
      <c r="F47" s="315">
        <v>18722382.859999999</v>
      </c>
      <c r="G47" s="315">
        <v>24363642.789999999</v>
      </c>
      <c r="H47" s="162">
        <f t="shared" si="0"/>
        <v>5641259.9299999997</v>
      </c>
      <c r="I47" s="265"/>
      <c r="J47" s="265"/>
      <c r="K47" s="265"/>
      <c r="L47" s="265"/>
    </row>
    <row r="48" spans="1:12" s="27" customFormat="1" ht="21" customHeight="1">
      <c r="A48" s="265"/>
      <c r="B48" s="143">
        <v>38</v>
      </c>
      <c r="C48" s="58" t="s">
        <v>212</v>
      </c>
      <c r="D48" s="57" t="s">
        <v>213</v>
      </c>
      <c r="E48" s="316" t="s">
        <v>214</v>
      </c>
      <c r="F48" s="315">
        <f>48423052.69+13827889.73</f>
        <v>62250942.420000002</v>
      </c>
      <c r="G48" s="315">
        <v>94256913.390000001</v>
      </c>
      <c r="H48" s="162">
        <f t="shared" si="0"/>
        <v>32005970.969999999</v>
      </c>
      <c r="I48" s="265"/>
      <c r="J48" s="265"/>
      <c r="K48" s="265"/>
      <c r="L48" s="265"/>
    </row>
    <row r="49" spans="1:12" s="27" customFormat="1" ht="21" customHeight="1">
      <c r="A49" s="265"/>
      <c r="B49" s="143">
        <v>39</v>
      </c>
      <c r="C49" s="58" t="s">
        <v>215</v>
      </c>
      <c r="D49" s="57" t="s">
        <v>216</v>
      </c>
      <c r="E49" s="316" t="s">
        <v>1480</v>
      </c>
      <c r="F49" s="315">
        <v>68323774.510000005</v>
      </c>
      <c r="G49" s="315">
        <v>93500258.519999996</v>
      </c>
      <c r="H49" s="162">
        <f t="shared" si="0"/>
        <v>25176484.00999999</v>
      </c>
      <c r="I49" s="265"/>
      <c r="J49" s="265"/>
      <c r="K49" s="265"/>
      <c r="L49" s="265"/>
    </row>
    <row r="50" spans="1:12" s="27" customFormat="1" ht="21" customHeight="1">
      <c r="A50" s="265"/>
      <c r="B50" s="143">
        <v>40</v>
      </c>
      <c r="C50" s="58" t="s">
        <v>218</v>
      </c>
      <c r="D50" s="57" t="s">
        <v>219</v>
      </c>
      <c r="E50" s="316" t="s">
        <v>220</v>
      </c>
      <c r="F50" s="315">
        <v>24221617.120000001</v>
      </c>
      <c r="G50" s="315">
        <v>36590538.640000001</v>
      </c>
      <c r="H50" s="162">
        <f t="shared" si="0"/>
        <v>12368921.52</v>
      </c>
      <c r="I50" s="265"/>
      <c r="J50" s="265"/>
      <c r="K50" s="265"/>
      <c r="L50" s="265"/>
    </row>
    <row r="51" spans="1:12" s="27" customFormat="1" ht="21" customHeight="1">
      <c r="A51" s="265"/>
      <c r="B51" s="143">
        <v>41</v>
      </c>
      <c r="C51" s="59" t="s">
        <v>221</v>
      </c>
      <c r="D51" s="57" t="s">
        <v>222</v>
      </c>
      <c r="E51" s="316" t="s">
        <v>223</v>
      </c>
      <c r="F51" s="315">
        <v>291524002.83999997</v>
      </c>
      <c r="G51" s="315">
        <v>352394091.41000003</v>
      </c>
      <c r="H51" s="162">
        <f t="shared" si="0"/>
        <v>60870088.570000052</v>
      </c>
      <c r="I51" s="265"/>
      <c r="J51" s="265"/>
      <c r="K51" s="265"/>
      <c r="L51" s="265"/>
    </row>
    <row r="52" spans="1:12" s="27" customFormat="1" ht="21" customHeight="1">
      <c r="A52" s="265"/>
      <c r="B52" s="143">
        <v>42</v>
      </c>
      <c r="C52" s="59" t="s">
        <v>224</v>
      </c>
      <c r="D52" s="57" t="s">
        <v>225</v>
      </c>
      <c r="E52" s="316" t="s">
        <v>226</v>
      </c>
      <c r="F52" s="315">
        <v>29777371.100000001</v>
      </c>
      <c r="G52" s="315">
        <v>39196982.829999998</v>
      </c>
      <c r="H52" s="162">
        <f t="shared" si="0"/>
        <v>9419611.7299999967</v>
      </c>
      <c r="I52" s="265"/>
      <c r="J52" s="265"/>
      <c r="K52" s="265"/>
      <c r="L52" s="265"/>
    </row>
    <row r="53" spans="1:12" s="27" customFormat="1" ht="21" customHeight="1">
      <c r="A53" s="265"/>
      <c r="B53" s="143">
        <v>43</v>
      </c>
      <c r="C53" s="58" t="s">
        <v>227</v>
      </c>
      <c r="D53" s="57" t="s">
        <v>228</v>
      </c>
      <c r="E53" s="316" t="s">
        <v>229</v>
      </c>
      <c r="F53" s="315">
        <v>85067224.599999994</v>
      </c>
      <c r="G53" s="315">
        <v>136011329.5</v>
      </c>
      <c r="H53" s="162">
        <f t="shared" si="0"/>
        <v>50944104.900000006</v>
      </c>
      <c r="I53" s="265"/>
      <c r="J53" s="265"/>
      <c r="K53" s="265"/>
      <c r="L53" s="265"/>
    </row>
    <row r="54" spans="1:12" s="27" customFormat="1" ht="21" customHeight="1">
      <c r="A54" s="265"/>
      <c r="B54" s="143">
        <v>44</v>
      </c>
      <c r="C54" s="59" t="s">
        <v>230</v>
      </c>
      <c r="D54" s="57" t="s">
        <v>231</v>
      </c>
      <c r="E54" s="316" t="s">
        <v>232</v>
      </c>
      <c r="F54" s="315">
        <v>78447425.409999996</v>
      </c>
      <c r="G54" s="315">
        <v>106933379.45999999</v>
      </c>
      <c r="H54" s="162">
        <f t="shared" si="0"/>
        <v>28485954.049999997</v>
      </c>
      <c r="I54" s="265"/>
      <c r="J54" s="265"/>
      <c r="K54" s="265"/>
      <c r="L54" s="265"/>
    </row>
    <row r="55" spans="1:12" s="27" customFormat="1" ht="21" customHeight="1">
      <c r="A55" s="265"/>
      <c r="B55" s="143">
        <v>45</v>
      </c>
      <c r="C55" s="59" t="s">
        <v>236</v>
      </c>
      <c r="D55" s="57" t="s">
        <v>237</v>
      </c>
      <c r="E55" s="316" t="s">
        <v>238</v>
      </c>
      <c r="F55" s="315">
        <v>7473352.3499999996</v>
      </c>
      <c r="G55" s="315">
        <v>15140161.32</v>
      </c>
      <c r="H55" s="162">
        <f t="shared" si="0"/>
        <v>7666808.9700000007</v>
      </c>
      <c r="I55" s="265"/>
      <c r="J55" s="265"/>
      <c r="K55" s="265"/>
      <c r="L55" s="265"/>
    </row>
    <row r="56" spans="1:12" s="27" customFormat="1" ht="21" customHeight="1">
      <c r="A56" s="265"/>
      <c r="B56" s="143">
        <v>46</v>
      </c>
      <c r="C56" s="58" t="s">
        <v>239</v>
      </c>
      <c r="D56" s="57" t="s">
        <v>240</v>
      </c>
      <c r="E56" s="316" t="s">
        <v>241</v>
      </c>
      <c r="F56" s="315">
        <v>52844893.759999998</v>
      </c>
      <c r="G56" s="315">
        <v>67359694.930000007</v>
      </c>
      <c r="H56" s="162">
        <f t="shared" si="0"/>
        <v>14514801.170000009</v>
      </c>
      <c r="I56" s="265"/>
      <c r="J56" s="265"/>
      <c r="K56" s="265"/>
      <c r="L56" s="265"/>
    </row>
    <row r="57" spans="1:12" ht="21" customHeight="1">
      <c r="B57" s="143"/>
      <c r="C57" s="319"/>
      <c r="D57" s="143"/>
      <c r="E57" s="320" t="s">
        <v>242</v>
      </c>
      <c r="F57" s="321">
        <f>SUM(F34:F56)</f>
        <v>2255548340.0699997</v>
      </c>
      <c r="G57" s="321">
        <f>SUM(G34:G56)</f>
        <v>2880674758.6900001</v>
      </c>
      <c r="H57" s="321">
        <f>SUM(H34:H56)</f>
        <v>625126418.61999989</v>
      </c>
    </row>
    <row r="58" spans="1:12" ht="21" customHeight="1">
      <c r="B58" s="143"/>
      <c r="C58" s="319"/>
      <c r="D58" s="143"/>
      <c r="E58" s="323" t="s">
        <v>243</v>
      </c>
      <c r="F58" s="143"/>
      <c r="G58" s="143"/>
      <c r="H58" s="319"/>
    </row>
    <row r="59" spans="1:12" ht="21" customHeight="1">
      <c r="B59" s="143">
        <v>47</v>
      </c>
      <c r="C59" s="324" t="s">
        <v>244</v>
      </c>
      <c r="D59" s="325" t="s">
        <v>245</v>
      </c>
      <c r="E59" s="326" t="s">
        <v>246</v>
      </c>
      <c r="F59" s="325">
        <v>171405940.68000001</v>
      </c>
      <c r="G59" s="325">
        <v>195110675.59</v>
      </c>
      <c r="H59" s="162">
        <f>G59-F59</f>
        <v>23704734.909999996</v>
      </c>
    </row>
    <row r="60" spans="1:12" ht="21" customHeight="1">
      <c r="B60" s="143"/>
      <c r="C60" s="319"/>
      <c r="D60" s="143"/>
      <c r="E60" s="323" t="s">
        <v>247</v>
      </c>
      <c r="F60" s="327">
        <f>SUM(F59)</f>
        <v>171405940.68000001</v>
      </c>
      <c r="G60" s="327">
        <f>SUM(G59)</f>
        <v>195110675.59</v>
      </c>
      <c r="H60" s="266">
        <f>SUM(H59)</f>
        <v>23704734.909999996</v>
      </c>
    </row>
    <row r="61" spans="1:12" ht="21" customHeight="1">
      <c r="B61" s="143"/>
      <c r="C61" s="319"/>
      <c r="D61" s="143"/>
      <c r="E61" s="328" t="s">
        <v>248</v>
      </c>
      <c r="F61" s="325">
        <v>0</v>
      </c>
      <c r="G61" s="325">
        <v>195110675.59</v>
      </c>
      <c r="H61" s="325">
        <v>195110675.59</v>
      </c>
    </row>
    <row r="62" spans="1:12" ht="21" customHeight="1">
      <c r="B62" s="143"/>
      <c r="C62" s="319"/>
      <c r="D62" s="143"/>
      <c r="E62" s="328" t="s">
        <v>250</v>
      </c>
      <c r="F62" s="266"/>
      <c r="G62" s="266"/>
      <c r="H62" s="319"/>
    </row>
    <row r="63" spans="1:12" ht="21" customHeight="1">
      <c r="B63" s="143"/>
      <c r="C63" s="319"/>
      <c r="D63" s="143"/>
      <c r="E63" s="329" t="s">
        <v>249</v>
      </c>
      <c r="F63" s="143"/>
      <c r="G63" s="143"/>
      <c r="H63" s="319"/>
    </row>
    <row r="64" spans="1:12" s="27" customFormat="1" ht="21" customHeight="1">
      <c r="A64" s="265"/>
      <c r="B64" s="143">
        <v>48</v>
      </c>
      <c r="C64" s="58" t="s">
        <v>251</v>
      </c>
      <c r="D64" s="57" t="s">
        <v>252</v>
      </c>
      <c r="E64" s="316" t="s">
        <v>253</v>
      </c>
      <c r="F64" s="330">
        <v>79215872.010000005</v>
      </c>
      <c r="G64" s="330">
        <v>148416854.41999999</v>
      </c>
      <c r="H64" s="162">
        <f>G64-F64</f>
        <v>69200982.409999982</v>
      </c>
      <c r="I64" s="265"/>
      <c r="J64" s="265"/>
      <c r="K64" s="265"/>
      <c r="L64" s="265"/>
    </row>
    <row r="65" spans="1:12" s="27" customFormat="1" ht="21" customHeight="1">
      <c r="A65" s="265"/>
      <c r="B65" s="143">
        <v>49</v>
      </c>
      <c r="C65" s="58" t="s">
        <v>260</v>
      </c>
      <c r="D65" s="57" t="s">
        <v>261</v>
      </c>
      <c r="E65" s="316" t="s">
        <v>596</v>
      </c>
      <c r="F65" s="330">
        <v>487850594.82999998</v>
      </c>
      <c r="G65" s="330">
        <v>684394410.65999997</v>
      </c>
      <c r="H65" s="162">
        <f t="shared" ref="H65:H83" si="1">G65-F65</f>
        <v>196543815.82999998</v>
      </c>
      <c r="I65" s="265"/>
      <c r="J65" s="265"/>
      <c r="K65" s="265"/>
      <c r="L65" s="265"/>
    </row>
    <row r="66" spans="1:12" s="27" customFormat="1" ht="21" customHeight="1">
      <c r="A66" s="265"/>
      <c r="B66" s="143">
        <v>50</v>
      </c>
      <c r="C66" s="58" t="s">
        <v>260</v>
      </c>
      <c r="D66" s="57" t="s">
        <v>263</v>
      </c>
      <c r="E66" s="316" t="s">
        <v>264</v>
      </c>
      <c r="F66" s="330"/>
      <c r="G66" s="330"/>
      <c r="H66" s="162">
        <f t="shared" si="1"/>
        <v>0</v>
      </c>
      <c r="I66" s="265"/>
      <c r="J66" s="265"/>
      <c r="K66" s="265"/>
      <c r="L66" s="265"/>
    </row>
    <row r="67" spans="1:12" s="27" customFormat="1" ht="21" customHeight="1">
      <c r="A67" s="265"/>
      <c r="B67" s="143">
        <v>51</v>
      </c>
      <c r="C67" s="58" t="s">
        <v>271</v>
      </c>
      <c r="D67" s="57" t="s">
        <v>272</v>
      </c>
      <c r="E67" s="316" t="s">
        <v>1521</v>
      </c>
      <c r="F67" s="331">
        <v>352647156.98000002</v>
      </c>
      <c r="G67" s="330">
        <v>413151693.38</v>
      </c>
      <c r="H67" s="162">
        <f t="shared" si="1"/>
        <v>60504536.399999976</v>
      </c>
      <c r="I67" s="265"/>
      <c r="J67" s="265"/>
      <c r="K67" s="265"/>
      <c r="L67" s="265"/>
    </row>
    <row r="68" spans="1:12" s="27" customFormat="1" ht="21" customHeight="1">
      <c r="A68" s="265"/>
      <c r="B68" s="143">
        <v>52</v>
      </c>
      <c r="C68" s="58" t="s">
        <v>274</v>
      </c>
      <c r="D68" s="57" t="s">
        <v>275</v>
      </c>
      <c r="E68" s="316" t="s">
        <v>276</v>
      </c>
      <c r="F68" s="330">
        <v>11688174.449999999</v>
      </c>
      <c r="G68" s="330">
        <v>22733344.870000001</v>
      </c>
      <c r="H68" s="162">
        <f t="shared" si="1"/>
        <v>11045170.420000002</v>
      </c>
      <c r="I68" s="265"/>
      <c r="J68" s="265"/>
      <c r="K68" s="265"/>
      <c r="L68" s="265"/>
    </row>
    <row r="69" spans="1:12" s="27" customFormat="1" ht="21" customHeight="1">
      <c r="A69" s="265"/>
      <c r="B69" s="143">
        <v>53</v>
      </c>
      <c r="C69" s="58" t="s">
        <v>277</v>
      </c>
      <c r="D69" s="57" t="s">
        <v>278</v>
      </c>
      <c r="E69" s="316" t="s">
        <v>279</v>
      </c>
      <c r="F69" s="330">
        <v>135853450.28</v>
      </c>
      <c r="G69" s="330">
        <v>250002392.38</v>
      </c>
      <c r="H69" s="162">
        <f t="shared" si="1"/>
        <v>114148942.09999999</v>
      </c>
      <c r="I69" s="265"/>
      <c r="J69" s="265"/>
      <c r="K69" s="265"/>
      <c r="L69" s="265"/>
    </row>
    <row r="70" spans="1:12" s="27" customFormat="1" ht="21" customHeight="1">
      <c r="A70" s="265"/>
      <c r="B70" s="143">
        <v>54</v>
      </c>
      <c r="C70" s="58" t="s">
        <v>281</v>
      </c>
      <c r="D70" s="57" t="s">
        <v>282</v>
      </c>
      <c r="E70" s="316" t="s">
        <v>1482</v>
      </c>
      <c r="F70" s="331">
        <v>8012613411.0600004</v>
      </c>
      <c r="G70" s="330">
        <v>10373789428.889999</v>
      </c>
      <c r="H70" s="162">
        <f t="shared" si="1"/>
        <v>2361176017.829999</v>
      </c>
      <c r="I70" s="265"/>
      <c r="J70" s="265"/>
      <c r="K70" s="265"/>
      <c r="L70" s="265"/>
    </row>
    <row r="71" spans="1:12" s="27" customFormat="1" ht="21" customHeight="1">
      <c r="A71" s="265"/>
      <c r="B71" s="143">
        <v>55</v>
      </c>
      <c r="C71" s="58" t="s">
        <v>284</v>
      </c>
      <c r="D71" s="57" t="s">
        <v>285</v>
      </c>
      <c r="E71" s="316" t="s">
        <v>286</v>
      </c>
      <c r="F71" s="330">
        <v>85964713.930000007</v>
      </c>
      <c r="G71" s="330">
        <v>121822874.59999999</v>
      </c>
      <c r="H71" s="162">
        <f t="shared" si="1"/>
        <v>35858160.669999987</v>
      </c>
      <c r="I71" s="265"/>
      <c r="J71" s="265"/>
      <c r="K71" s="265"/>
      <c r="L71" s="265"/>
    </row>
    <row r="72" spans="1:12" s="27" customFormat="1" ht="21" customHeight="1">
      <c r="A72" s="265"/>
      <c r="B72" s="143">
        <v>56</v>
      </c>
      <c r="C72" s="58" t="s">
        <v>287</v>
      </c>
      <c r="D72" s="57" t="s">
        <v>288</v>
      </c>
      <c r="E72" s="316" t="s">
        <v>289</v>
      </c>
      <c r="F72" s="330">
        <v>38545712.899999999</v>
      </c>
      <c r="G72" s="330">
        <v>57698059.109999999</v>
      </c>
      <c r="H72" s="162">
        <f t="shared" si="1"/>
        <v>19152346.210000001</v>
      </c>
      <c r="I72" s="265"/>
      <c r="J72" s="265"/>
      <c r="K72" s="265"/>
      <c r="L72" s="265"/>
    </row>
    <row r="73" spans="1:12" s="27" customFormat="1" ht="21" customHeight="1">
      <c r="A73" s="265"/>
      <c r="B73" s="143">
        <v>57</v>
      </c>
      <c r="C73" s="58" t="s">
        <v>293</v>
      </c>
      <c r="D73" s="57" t="s">
        <v>294</v>
      </c>
      <c r="E73" s="316" t="s">
        <v>295</v>
      </c>
      <c r="F73" s="330">
        <v>14044366.99</v>
      </c>
      <c r="G73" s="330">
        <v>20150607.260000002</v>
      </c>
      <c r="H73" s="162">
        <f t="shared" si="1"/>
        <v>6106240.2700000014</v>
      </c>
      <c r="I73" s="265"/>
      <c r="J73" s="265"/>
      <c r="K73" s="265"/>
      <c r="L73" s="265"/>
    </row>
    <row r="74" spans="1:12" s="27" customFormat="1" ht="21" customHeight="1">
      <c r="A74" s="265"/>
      <c r="B74" s="143">
        <v>58</v>
      </c>
      <c r="C74" s="58" t="s">
        <v>296</v>
      </c>
      <c r="D74" s="57" t="s">
        <v>297</v>
      </c>
      <c r="E74" s="316" t="s">
        <v>298</v>
      </c>
      <c r="F74" s="330">
        <v>15335924.029999999</v>
      </c>
      <c r="G74" s="330">
        <v>20663026.030000001</v>
      </c>
      <c r="H74" s="162">
        <f t="shared" si="1"/>
        <v>5327102.0000000019</v>
      </c>
      <c r="I74" s="265"/>
      <c r="J74" s="265"/>
      <c r="K74" s="265"/>
      <c r="L74" s="265"/>
    </row>
    <row r="75" spans="1:12" s="27" customFormat="1" ht="21" customHeight="1">
      <c r="A75" s="265"/>
      <c r="B75" s="143">
        <v>59</v>
      </c>
      <c r="C75" s="58" t="s">
        <v>299</v>
      </c>
      <c r="D75" s="57" t="s">
        <v>300</v>
      </c>
      <c r="E75" s="316" t="s">
        <v>301</v>
      </c>
      <c r="F75" s="330">
        <v>286622551.62</v>
      </c>
      <c r="G75" s="330">
        <v>350831773.52999997</v>
      </c>
      <c r="H75" s="162">
        <f t="shared" si="1"/>
        <v>64209221.909999967</v>
      </c>
      <c r="I75" s="265"/>
      <c r="J75" s="265"/>
      <c r="K75" s="265"/>
      <c r="L75" s="265"/>
    </row>
    <row r="76" spans="1:12" s="27" customFormat="1" ht="21" customHeight="1">
      <c r="A76" s="265"/>
      <c r="B76" s="143">
        <v>60</v>
      </c>
      <c r="C76" s="58" t="s">
        <v>302</v>
      </c>
      <c r="D76" s="57" t="s">
        <v>303</v>
      </c>
      <c r="E76" s="316" t="s">
        <v>304</v>
      </c>
      <c r="F76" s="330">
        <v>16975668.600000001</v>
      </c>
      <c r="G76" s="330">
        <v>25653967.640000001</v>
      </c>
      <c r="H76" s="162">
        <f t="shared" si="1"/>
        <v>8678299.0399999991</v>
      </c>
      <c r="I76" s="265"/>
      <c r="J76" s="265"/>
      <c r="K76" s="265"/>
      <c r="L76" s="265"/>
    </row>
    <row r="77" spans="1:12" s="27" customFormat="1" ht="21" customHeight="1">
      <c r="A77" s="265"/>
      <c r="B77" s="143">
        <v>61</v>
      </c>
      <c r="C77" s="58" t="s">
        <v>305</v>
      </c>
      <c r="D77" s="57" t="s">
        <v>306</v>
      </c>
      <c r="E77" s="316" t="s">
        <v>307</v>
      </c>
      <c r="F77" s="330">
        <v>2300510535.8800001</v>
      </c>
      <c r="G77" s="330">
        <v>2804248066.6300001</v>
      </c>
      <c r="H77" s="162">
        <f t="shared" si="1"/>
        <v>503737530.75</v>
      </c>
      <c r="I77" s="265"/>
      <c r="J77" s="265"/>
      <c r="K77" s="265"/>
      <c r="L77" s="265"/>
    </row>
    <row r="78" spans="1:12" s="27" customFormat="1" ht="21" customHeight="1">
      <c r="A78" s="265"/>
      <c r="B78" s="143">
        <v>62</v>
      </c>
      <c r="C78" s="58" t="s">
        <v>308</v>
      </c>
      <c r="D78" s="57" t="s">
        <v>309</v>
      </c>
      <c r="E78" s="316" t="s">
        <v>310</v>
      </c>
      <c r="F78" s="330">
        <v>17749672.949999999</v>
      </c>
      <c r="G78" s="330">
        <v>18324172.629999999</v>
      </c>
      <c r="H78" s="162">
        <f t="shared" si="1"/>
        <v>574499.6799999997</v>
      </c>
      <c r="I78" s="265"/>
      <c r="J78" s="265"/>
      <c r="K78" s="265"/>
      <c r="L78" s="265"/>
    </row>
    <row r="79" spans="1:12" s="27" customFormat="1" ht="21" customHeight="1">
      <c r="A79" s="265"/>
      <c r="B79" s="143">
        <v>63</v>
      </c>
      <c r="C79" s="58" t="s">
        <v>311</v>
      </c>
      <c r="D79" s="57" t="s">
        <v>312</v>
      </c>
      <c r="E79" s="316" t="s">
        <v>313</v>
      </c>
      <c r="F79" s="330">
        <v>149994405.52000001</v>
      </c>
      <c r="G79" s="330">
        <v>170011280.09999999</v>
      </c>
      <c r="H79" s="162">
        <f t="shared" si="1"/>
        <v>20016874.579999983</v>
      </c>
      <c r="I79" s="265"/>
      <c r="J79" s="265"/>
      <c r="K79" s="265"/>
      <c r="L79" s="265"/>
    </row>
    <row r="80" spans="1:12" s="27" customFormat="1" ht="21" customHeight="1">
      <c r="A80" s="265"/>
      <c r="B80" s="143">
        <v>64</v>
      </c>
      <c r="C80" s="58" t="s">
        <v>314</v>
      </c>
      <c r="D80" s="57" t="s">
        <v>315</v>
      </c>
      <c r="E80" s="316" t="s">
        <v>316</v>
      </c>
      <c r="F80" s="330">
        <v>14123291.619999999</v>
      </c>
      <c r="G80" s="330">
        <v>27582287.190000001</v>
      </c>
      <c r="H80" s="162">
        <f t="shared" si="1"/>
        <v>13458995.570000002</v>
      </c>
      <c r="I80" s="265"/>
      <c r="J80" s="265"/>
      <c r="K80" s="265"/>
      <c r="L80" s="265"/>
    </row>
    <row r="81" spans="1:12" s="27" customFormat="1" ht="21" customHeight="1">
      <c r="A81" s="265"/>
      <c r="B81" s="143">
        <v>65</v>
      </c>
      <c r="C81" s="58" t="s">
        <v>317</v>
      </c>
      <c r="D81" s="57" t="s">
        <v>318</v>
      </c>
      <c r="E81" s="316" t="s">
        <v>319</v>
      </c>
      <c r="F81" s="330">
        <v>20521400.760000002</v>
      </c>
      <c r="G81" s="330">
        <v>27150951.109999999</v>
      </c>
      <c r="H81" s="162">
        <f t="shared" si="1"/>
        <v>6629550.3499999978</v>
      </c>
      <c r="I81" s="265"/>
      <c r="J81" s="265"/>
      <c r="K81" s="265"/>
      <c r="L81" s="265"/>
    </row>
    <row r="82" spans="1:12" s="27" customFormat="1" ht="21" customHeight="1">
      <c r="A82" s="265"/>
      <c r="B82" s="143">
        <v>66</v>
      </c>
      <c r="C82" s="58" t="s">
        <v>320</v>
      </c>
      <c r="D82" s="57" t="s">
        <v>321</v>
      </c>
      <c r="E82" s="316" t="s">
        <v>322</v>
      </c>
      <c r="F82" s="330">
        <v>52855328.119999997</v>
      </c>
      <c r="G82" s="330">
        <v>78480056.590000004</v>
      </c>
      <c r="H82" s="162">
        <f t="shared" si="1"/>
        <v>25624728.470000006</v>
      </c>
      <c r="I82" s="265"/>
      <c r="J82" s="265"/>
      <c r="K82" s="265"/>
      <c r="L82" s="265"/>
    </row>
    <row r="83" spans="1:12" s="27" customFormat="1" ht="21" customHeight="1">
      <c r="A83" s="265"/>
      <c r="B83" s="143">
        <v>67</v>
      </c>
      <c r="C83" s="58" t="s">
        <v>324</v>
      </c>
      <c r="D83" s="57" t="s">
        <v>325</v>
      </c>
      <c r="E83" s="316" t="s">
        <v>326</v>
      </c>
      <c r="F83" s="330">
        <v>58278429.539999999</v>
      </c>
      <c r="G83" s="330">
        <v>84367426.290000007</v>
      </c>
      <c r="H83" s="162">
        <f t="shared" si="1"/>
        <v>26088996.750000007</v>
      </c>
      <c r="I83" s="265"/>
      <c r="J83" s="265"/>
      <c r="K83" s="265"/>
      <c r="L83" s="265"/>
    </row>
    <row r="84" spans="1:12" ht="21" customHeight="1">
      <c r="B84" s="143"/>
      <c r="C84" s="319"/>
      <c r="D84" s="143"/>
      <c r="E84" s="320" t="s">
        <v>327</v>
      </c>
      <c r="F84" s="321">
        <f>SUM(F64:F83)</f>
        <v>12151390662.070005</v>
      </c>
      <c r="G84" s="321">
        <f>SUM(G64:G83)</f>
        <v>15699472673.310003</v>
      </c>
      <c r="H84" s="321">
        <f>SUM(H64:H83)</f>
        <v>3548082011.2399983</v>
      </c>
    </row>
    <row r="85" spans="1:12" ht="21" customHeight="1">
      <c r="B85" s="143"/>
      <c r="C85" s="319"/>
      <c r="D85" s="143"/>
      <c r="E85" s="332"/>
      <c r="F85" s="143"/>
      <c r="G85" s="143"/>
      <c r="H85" s="319"/>
    </row>
    <row r="86" spans="1:12" ht="21" customHeight="1">
      <c r="B86" s="143"/>
      <c r="C86" s="319"/>
      <c r="D86" s="143"/>
      <c r="E86" s="320" t="s">
        <v>329</v>
      </c>
      <c r="F86" s="141"/>
      <c r="G86" s="141"/>
      <c r="H86" s="242"/>
    </row>
    <row r="87" spans="1:12" ht="21" customHeight="1">
      <c r="B87" s="143"/>
      <c r="C87" s="319"/>
      <c r="D87" s="143"/>
      <c r="E87" s="333" t="s">
        <v>328</v>
      </c>
      <c r="F87" s="275">
        <f>F32</f>
        <v>1905302254.7799997</v>
      </c>
      <c r="G87" s="275">
        <f>G32</f>
        <v>2625299029.8299999</v>
      </c>
      <c r="H87" s="275">
        <f>H32</f>
        <v>719996775.05000031</v>
      </c>
    </row>
    <row r="88" spans="1:12" ht="21" customHeight="1">
      <c r="B88" s="143"/>
      <c r="C88" s="319"/>
      <c r="D88" s="143"/>
      <c r="E88" s="333" t="s">
        <v>161</v>
      </c>
      <c r="F88" s="275">
        <f>F57</f>
        <v>2255548340.0699997</v>
      </c>
      <c r="G88" s="275">
        <f>G57</f>
        <v>2880674758.6900001</v>
      </c>
      <c r="H88" s="275">
        <f>H57</f>
        <v>625126418.61999989</v>
      </c>
    </row>
    <row r="89" spans="1:12" ht="21" customHeight="1">
      <c r="B89" s="143"/>
      <c r="C89" s="319"/>
      <c r="D89" s="143"/>
      <c r="E89" s="333" t="s">
        <v>243</v>
      </c>
      <c r="F89" s="275">
        <f>F60</f>
        <v>171405940.68000001</v>
      </c>
      <c r="G89" s="275">
        <f>G60</f>
        <v>195110675.59</v>
      </c>
      <c r="H89" s="275">
        <f>H60</f>
        <v>23704734.909999996</v>
      </c>
    </row>
    <row r="90" spans="1:12" ht="21" customHeight="1">
      <c r="B90" s="143"/>
      <c r="C90" s="319"/>
      <c r="D90" s="143"/>
      <c r="E90" s="333" t="s">
        <v>248</v>
      </c>
      <c r="F90" s="275">
        <f>F62</f>
        <v>0</v>
      </c>
      <c r="G90" s="275">
        <f>G62</f>
        <v>0</v>
      </c>
      <c r="H90" s="275">
        <f>H62</f>
        <v>0</v>
      </c>
    </row>
    <row r="91" spans="1:12" ht="21" customHeight="1">
      <c r="B91" s="143"/>
      <c r="C91" s="319"/>
      <c r="D91" s="143"/>
      <c r="E91" s="333" t="s">
        <v>249</v>
      </c>
      <c r="F91" s="275">
        <f>F84</f>
        <v>12151390662.070005</v>
      </c>
      <c r="G91" s="275">
        <f>G84</f>
        <v>15699472673.310003</v>
      </c>
      <c r="H91" s="275">
        <f>H84</f>
        <v>3548082011.2399983</v>
      </c>
    </row>
    <row r="92" spans="1:12" ht="21" customHeight="1">
      <c r="B92" s="143"/>
      <c r="C92" s="319"/>
      <c r="D92" s="143"/>
      <c r="E92" s="334" t="s">
        <v>816</v>
      </c>
      <c r="F92" s="321">
        <f>SUM(F87:F91)</f>
        <v>16483647197.600006</v>
      </c>
      <c r="G92" s="321">
        <f>SUM(G87:G91)</f>
        <v>21400557137.420006</v>
      </c>
      <c r="H92" s="321">
        <f>SUM(H87:H91)</f>
        <v>4916909939.8199987</v>
      </c>
    </row>
    <row r="93" spans="1:12" ht="21" customHeight="1">
      <c r="B93" s="143"/>
      <c r="C93" s="319"/>
      <c r="D93" s="143"/>
      <c r="E93" s="335"/>
      <c r="F93" s="336"/>
      <c r="G93" s="336"/>
      <c r="H93" s="242"/>
    </row>
    <row r="94" spans="1:12" ht="21" customHeight="1">
      <c r="B94" s="143"/>
      <c r="C94" s="319"/>
      <c r="D94" s="143"/>
      <c r="E94" s="337" t="s">
        <v>330</v>
      </c>
      <c r="F94" s="330">
        <v>37582160.700000003</v>
      </c>
      <c r="G94" s="330">
        <v>52474134.439999998</v>
      </c>
      <c r="H94" s="162">
        <f t="shared" ref="H94:H99" si="2">G94-F94</f>
        <v>14891973.739999995</v>
      </c>
    </row>
    <row r="95" spans="1:12" ht="21" customHeight="1">
      <c r="B95" s="143"/>
      <c r="C95" s="319"/>
      <c r="D95" s="143"/>
      <c r="E95" s="337" t="s">
        <v>331</v>
      </c>
      <c r="F95" s="330">
        <v>2461879.77</v>
      </c>
      <c r="G95" s="330">
        <v>15314221.42</v>
      </c>
      <c r="H95" s="162">
        <f t="shared" si="2"/>
        <v>12852341.65</v>
      </c>
    </row>
    <row r="96" spans="1:12" ht="21" customHeight="1">
      <c r="B96" s="143"/>
      <c r="C96" s="319"/>
      <c r="D96" s="143"/>
      <c r="E96" s="337" t="s">
        <v>332</v>
      </c>
      <c r="F96" s="330"/>
      <c r="G96" s="330">
        <v>972121.63</v>
      </c>
      <c r="H96" s="162">
        <f t="shared" si="2"/>
        <v>972121.63</v>
      </c>
    </row>
    <row r="97" spans="1:13" ht="21" customHeight="1">
      <c r="B97" s="143"/>
      <c r="C97" s="319"/>
      <c r="D97" s="143"/>
      <c r="E97" s="338" t="s">
        <v>1949</v>
      </c>
      <c r="F97" s="264">
        <v>714977466.20000005</v>
      </c>
      <c r="G97" s="264">
        <v>1444954932.4000001</v>
      </c>
      <c r="H97" s="162">
        <f t="shared" si="2"/>
        <v>729977466.20000005</v>
      </c>
    </row>
    <row r="98" spans="1:13" s="112" customFormat="1" ht="21" customHeight="1">
      <c r="A98" s="142"/>
      <c r="B98" s="143"/>
      <c r="C98" s="319"/>
      <c r="D98" s="143"/>
      <c r="E98" s="338" t="s">
        <v>1483</v>
      </c>
      <c r="F98" s="264"/>
      <c r="G98" s="264">
        <v>0</v>
      </c>
      <c r="H98" s="162">
        <f t="shared" si="2"/>
        <v>0</v>
      </c>
      <c r="I98" s="171"/>
      <c r="J98" s="171"/>
      <c r="K98" s="142"/>
      <c r="L98" s="142"/>
    </row>
    <row r="99" spans="1:13" ht="21" customHeight="1">
      <c r="B99" s="143"/>
      <c r="C99" s="319"/>
      <c r="D99" s="143"/>
      <c r="E99" s="338" t="s">
        <v>334</v>
      </c>
      <c r="F99" s="264"/>
      <c r="G99" s="264">
        <v>0</v>
      </c>
      <c r="H99" s="162">
        <f t="shared" si="2"/>
        <v>0</v>
      </c>
    </row>
    <row r="100" spans="1:13" ht="21" customHeight="1">
      <c r="B100" s="143"/>
      <c r="C100" s="319"/>
      <c r="D100" s="143"/>
      <c r="E100" s="339" t="s">
        <v>817</v>
      </c>
      <c r="F100" s="266">
        <f>SUM(F94:F99)</f>
        <v>755021506.67000008</v>
      </c>
      <c r="G100" s="266">
        <f>SUM(G94:G99)</f>
        <v>1513715409.8900001</v>
      </c>
      <c r="H100" s="266">
        <f>SUM(H94:H99)</f>
        <v>758693903.22000003</v>
      </c>
    </row>
    <row r="101" spans="1:13" ht="21" customHeight="1">
      <c r="B101" s="143"/>
      <c r="C101" s="319"/>
      <c r="D101" s="143"/>
      <c r="E101" s="339"/>
      <c r="F101" s="266"/>
      <c r="G101" s="266"/>
      <c r="H101" s="319"/>
    </row>
    <row r="102" spans="1:13" ht="21" customHeight="1">
      <c r="B102" s="143"/>
      <c r="C102" s="319"/>
      <c r="D102" s="143"/>
      <c r="E102" s="339" t="s">
        <v>818</v>
      </c>
      <c r="F102" s="321">
        <f>F100+F92</f>
        <v>17238668704.270004</v>
      </c>
      <c r="G102" s="321">
        <f>G100+G92</f>
        <v>22914272547.310005</v>
      </c>
      <c r="H102" s="321">
        <f>H100+H92</f>
        <v>5675603843.039999</v>
      </c>
    </row>
    <row r="103" spans="1:13" s="69" customFormat="1" ht="24.95" customHeight="1">
      <c r="A103" s="142"/>
      <c r="B103" s="252"/>
      <c r="C103" s="251"/>
      <c r="D103" s="252"/>
      <c r="E103" s="340"/>
      <c r="F103" s="341"/>
      <c r="G103" s="341"/>
      <c r="H103" s="341"/>
      <c r="I103" s="171"/>
      <c r="J103" s="171"/>
      <c r="K103" s="142"/>
      <c r="L103" s="142"/>
      <c r="M103" s="65"/>
    </row>
    <row r="104" spans="1:13" ht="24.95" customHeight="1">
      <c r="B104" s="599" t="s">
        <v>2022</v>
      </c>
      <c r="C104" s="599"/>
      <c r="D104" s="599"/>
      <c r="E104" s="599"/>
      <c r="F104" s="599"/>
      <c r="G104" s="599"/>
      <c r="H104" s="599"/>
      <c r="M104" s="65"/>
    </row>
    <row r="105" spans="1:13" ht="10.5" customHeight="1"/>
    <row r="106" spans="1:13" s="68" customFormat="1" ht="21.95" customHeight="1">
      <c r="A106" s="142"/>
      <c r="B106" s="143">
        <v>1</v>
      </c>
      <c r="C106" s="58" t="s">
        <v>260</v>
      </c>
      <c r="D106" s="57" t="s">
        <v>263</v>
      </c>
      <c r="E106" s="316" t="s">
        <v>264</v>
      </c>
      <c r="F106" s="330">
        <v>4145247.73</v>
      </c>
      <c r="G106" s="330">
        <v>22303040.789999999</v>
      </c>
      <c r="H106" s="162">
        <f>G106-F106</f>
        <v>18157793.059999999</v>
      </c>
      <c r="I106" s="171"/>
      <c r="J106" s="171"/>
      <c r="K106" s="142"/>
      <c r="L106" s="142"/>
    </row>
    <row r="107" spans="1:13" ht="21.95" customHeight="1">
      <c r="B107" s="143">
        <v>2</v>
      </c>
      <c r="C107" s="58" t="s">
        <v>271</v>
      </c>
      <c r="D107" s="57" t="s">
        <v>265</v>
      </c>
      <c r="E107" s="312" t="s">
        <v>266</v>
      </c>
      <c r="F107" s="315">
        <v>108158543.81</v>
      </c>
      <c r="G107" s="315">
        <v>203744932.94</v>
      </c>
      <c r="H107" s="162">
        <f>G107-F107</f>
        <v>95586389.129999995</v>
      </c>
      <c r="M107" s="65"/>
    </row>
    <row r="108" spans="1:13" ht="21.95" customHeight="1">
      <c r="B108" s="143">
        <v>3</v>
      </c>
      <c r="C108" s="58" t="s">
        <v>281</v>
      </c>
      <c r="D108" s="57" t="s">
        <v>267</v>
      </c>
      <c r="E108" s="312" t="s">
        <v>268</v>
      </c>
      <c r="F108" s="315">
        <v>313172383.27999997</v>
      </c>
      <c r="G108" s="315">
        <v>584431670.75999999</v>
      </c>
      <c r="H108" s="162">
        <f>G108-F108</f>
        <v>271259287.48000002</v>
      </c>
    </row>
    <row r="109" spans="1:13" ht="21.95" customHeight="1">
      <c r="B109" s="143">
        <v>4</v>
      </c>
      <c r="C109" s="58" t="s">
        <v>284</v>
      </c>
      <c r="D109" s="57" t="s">
        <v>269</v>
      </c>
      <c r="E109" s="312" t="s">
        <v>270</v>
      </c>
      <c r="F109" s="315">
        <v>1034926.65</v>
      </c>
      <c r="G109" s="315">
        <v>2000000</v>
      </c>
      <c r="H109" s="162">
        <f>G109-F109</f>
        <v>965073.35</v>
      </c>
    </row>
    <row r="110" spans="1:13" ht="21.95" customHeight="1">
      <c r="B110" s="154"/>
      <c r="C110" s="242"/>
      <c r="D110" s="141"/>
      <c r="E110" s="320" t="s">
        <v>65</v>
      </c>
      <c r="F110" s="342">
        <f>SUM(F106:F109)</f>
        <v>426511101.46999997</v>
      </c>
      <c r="G110" s="342">
        <f>SUM(G106:G109)</f>
        <v>812479644.49000001</v>
      </c>
      <c r="H110" s="342">
        <f>SUM(H106:H109)</f>
        <v>385968543.02000004</v>
      </c>
    </row>
    <row r="112" spans="1:13" hidden="1">
      <c r="G112" s="343">
        <f>G102+G110</f>
        <v>23726752191.800007</v>
      </c>
    </row>
    <row r="113" spans="1:8" ht="18.75">
      <c r="A113" s="503"/>
      <c r="B113" s="599" t="s">
        <v>2023</v>
      </c>
      <c r="C113" s="599"/>
      <c r="D113" s="599"/>
      <c r="E113" s="599"/>
      <c r="F113" s="599"/>
      <c r="G113" s="599"/>
      <c r="H113" s="599"/>
    </row>
    <row r="114" spans="1:8" ht="23.25">
      <c r="A114" s="503"/>
      <c r="B114" s="143">
        <v>1</v>
      </c>
      <c r="C114" s="58"/>
      <c r="D114" s="57">
        <v>430014</v>
      </c>
      <c r="E114" s="316" t="s">
        <v>689</v>
      </c>
      <c r="F114" s="330"/>
      <c r="G114" s="330">
        <v>100000000</v>
      </c>
      <c r="H114" s="162">
        <f>G114-F114</f>
        <v>100000000</v>
      </c>
    </row>
    <row r="115" spans="1:8" ht="23.25">
      <c r="A115" s="503"/>
      <c r="B115" s="143">
        <v>2</v>
      </c>
      <c r="C115" s="58"/>
      <c r="D115" s="57">
        <v>434016</v>
      </c>
      <c r="E115" s="316" t="s">
        <v>1580</v>
      </c>
      <c r="F115" s="315">
        <v>122395929.76000001</v>
      </c>
      <c r="G115" s="315">
        <v>150000000</v>
      </c>
      <c r="H115" s="162">
        <f>G115-F115</f>
        <v>27604070.239999995</v>
      </c>
    </row>
    <row r="116" spans="1:8">
      <c r="A116" s="503"/>
      <c r="B116" s="154"/>
      <c r="C116" s="242"/>
      <c r="D116" s="141"/>
      <c r="E116" s="320" t="s">
        <v>65</v>
      </c>
      <c r="F116" s="342">
        <f>SUM(F114:F115)</f>
        <v>122395929.76000001</v>
      </c>
      <c r="G116" s="342">
        <f>SUM(G114:G115)</f>
        <v>250000000</v>
      </c>
      <c r="H116" s="342">
        <f>SUM(H114:H115)</f>
        <v>127604070.23999999</v>
      </c>
    </row>
  </sheetData>
  <mergeCells count="6">
    <mergeCell ref="B113:H113"/>
    <mergeCell ref="B1:H1"/>
    <mergeCell ref="B2:H2"/>
    <mergeCell ref="B3:H3"/>
    <mergeCell ref="B4:H4"/>
    <mergeCell ref="B104:H104"/>
  </mergeCells>
  <pageMargins left="0.5" right="0.5" top="0.75" bottom="0.5" header="0.3" footer="0.5"/>
  <pageSetup paperSize="9" firstPageNumber="96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opLeftCell="A4" workbookViewId="0">
      <selection activeCell="B4" sqref="B4:K4"/>
    </sheetView>
  </sheetViews>
  <sheetFormatPr defaultRowHeight="15"/>
  <cols>
    <col min="1" max="1" width="2.85546875" style="142" customWidth="1"/>
    <col min="2" max="2" width="22.140625" style="191" customWidth="1"/>
    <col min="3" max="3" width="9.7109375" style="170" customWidth="1"/>
    <col min="4" max="4" width="17.7109375" style="170" customWidth="1"/>
    <col min="5" max="5" width="9.7109375" style="170" customWidth="1"/>
    <col min="6" max="6" width="17.7109375" style="302" customWidth="1"/>
    <col min="7" max="7" width="9.7109375" style="302" customWidth="1"/>
    <col min="8" max="8" width="17.7109375" style="302" customWidth="1"/>
    <col min="9" max="9" width="9.7109375" style="302" customWidth="1"/>
    <col min="10" max="10" width="17.7109375" style="281" customWidth="1"/>
    <col min="11" max="12" width="14.42578125" style="171" hidden="1" customWidth="1"/>
    <col min="13" max="13" width="15" style="142" hidden="1" customWidth="1"/>
    <col min="14" max="14" width="9.140625" style="142"/>
  </cols>
  <sheetData>
    <row r="1" spans="1:14" s="101" customFormat="1" ht="21.95" hidden="1" customHeight="1">
      <c r="A1" s="142"/>
      <c r="B1" s="599" t="s">
        <v>0</v>
      </c>
      <c r="C1" s="599"/>
      <c r="D1" s="599"/>
      <c r="E1" s="599"/>
      <c r="F1" s="599"/>
      <c r="G1" s="599"/>
      <c r="H1" s="599"/>
      <c r="I1" s="599"/>
      <c r="J1" s="599"/>
      <c r="K1" s="599"/>
      <c r="L1" s="171"/>
      <c r="M1" s="171"/>
      <c r="N1" s="142"/>
    </row>
    <row r="2" spans="1:14" s="101" customFormat="1" ht="21.95" hidden="1" customHeight="1">
      <c r="A2" s="142"/>
      <c r="B2" s="600" t="s">
        <v>1571</v>
      </c>
      <c r="C2" s="600"/>
      <c r="D2" s="600"/>
      <c r="E2" s="600"/>
      <c r="F2" s="600"/>
      <c r="G2" s="600"/>
      <c r="H2" s="600"/>
      <c r="I2" s="600"/>
      <c r="J2" s="600"/>
      <c r="K2" s="600"/>
      <c r="L2" s="171"/>
      <c r="M2" s="171"/>
      <c r="N2" s="142"/>
    </row>
    <row r="3" spans="1:14" s="101" customFormat="1" ht="21.95" hidden="1" customHeight="1">
      <c r="A3" s="142"/>
      <c r="B3" s="600" t="s">
        <v>336</v>
      </c>
      <c r="C3" s="600"/>
      <c r="D3" s="600"/>
      <c r="E3" s="600"/>
      <c r="F3" s="600"/>
      <c r="G3" s="600"/>
      <c r="H3" s="600"/>
      <c r="I3" s="600"/>
      <c r="J3" s="600"/>
      <c r="K3" s="600"/>
      <c r="L3" s="298"/>
      <c r="M3" s="298"/>
      <c r="N3" s="298"/>
    </row>
    <row r="4" spans="1:14" s="101" customFormat="1" ht="21.95" customHeight="1">
      <c r="A4" s="142"/>
      <c r="B4" s="599" t="s">
        <v>2024</v>
      </c>
      <c r="C4" s="599"/>
      <c r="D4" s="599"/>
      <c r="E4" s="599"/>
      <c r="F4" s="599"/>
      <c r="G4" s="599"/>
      <c r="H4" s="599"/>
      <c r="I4" s="599"/>
      <c r="J4" s="599"/>
      <c r="K4" s="599"/>
      <c r="L4" s="299"/>
      <c r="M4" s="299"/>
      <c r="N4" s="299"/>
    </row>
    <row r="5" spans="1:14" ht="12.75" customHeight="1">
      <c r="B5" s="300"/>
    </row>
    <row r="6" spans="1:14" ht="26.25" customHeight="1">
      <c r="B6" s="344" t="s">
        <v>62</v>
      </c>
      <c r="C6" s="603" t="s">
        <v>1922</v>
      </c>
      <c r="D6" s="604"/>
      <c r="E6" s="603" t="s">
        <v>1925</v>
      </c>
      <c r="F6" s="604"/>
      <c r="G6" s="605" t="s">
        <v>109</v>
      </c>
      <c r="H6" s="606"/>
      <c r="I6" s="607" t="s">
        <v>65</v>
      </c>
      <c r="J6" s="607"/>
    </row>
    <row r="7" spans="1:14" ht="26.25" customHeight="1">
      <c r="B7" s="344"/>
      <c r="C7" s="304" t="s">
        <v>1923</v>
      </c>
      <c r="D7" s="304" t="s">
        <v>1924</v>
      </c>
      <c r="E7" s="304" t="s">
        <v>1923</v>
      </c>
      <c r="F7" s="304" t="s">
        <v>1924</v>
      </c>
      <c r="G7" s="304" t="s">
        <v>1923</v>
      </c>
      <c r="H7" s="304" t="s">
        <v>1924</v>
      </c>
      <c r="I7" s="304" t="s">
        <v>1923</v>
      </c>
      <c r="J7" s="304" t="s">
        <v>1924</v>
      </c>
      <c r="K7" s="307"/>
      <c r="L7" s="308"/>
      <c r="M7" s="309"/>
    </row>
    <row r="8" spans="1:14" ht="26.25" customHeight="1">
      <c r="B8" s="345" t="s">
        <v>66</v>
      </c>
      <c r="C8" s="143">
        <v>10706</v>
      </c>
      <c r="D8" s="264">
        <v>678850963.67000008</v>
      </c>
      <c r="E8" s="143">
        <v>9356</v>
      </c>
      <c r="F8" s="264">
        <v>682623711.30999994</v>
      </c>
      <c r="G8" s="261">
        <v>136</v>
      </c>
      <c r="H8" s="264">
        <v>64561248.369999997</v>
      </c>
      <c r="I8" s="143">
        <f>C8+E8+G8</f>
        <v>20198</v>
      </c>
      <c r="J8" s="264">
        <f>D8+F8+H8</f>
        <v>1426035923.3499999</v>
      </c>
      <c r="K8" s="310"/>
      <c r="L8" s="310"/>
      <c r="M8" s="310"/>
    </row>
    <row r="9" spans="1:14" s="48" customFormat="1" ht="26.25" customHeight="1">
      <c r="A9" s="303"/>
      <c r="B9" s="345" t="s">
        <v>1920</v>
      </c>
      <c r="C9" s="143">
        <v>10767</v>
      </c>
      <c r="D9" s="331">
        <v>681618233.29999995</v>
      </c>
      <c r="E9" s="143">
        <v>9341</v>
      </c>
      <c r="F9" s="346">
        <v>679889310.45000005</v>
      </c>
      <c r="G9" s="261">
        <v>136</v>
      </c>
      <c r="H9" s="331">
        <v>64307118.149999999</v>
      </c>
      <c r="I9" s="143">
        <f t="shared" ref="I9:I19" si="0">C9+E9+G9</f>
        <v>20244</v>
      </c>
      <c r="J9" s="264">
        <f t="shared" ref="J9:J19" si="1">D9+F9+H9</f>
        <v>1425814661.9000001</v>
      </c>
      <c r="K9" s="347"/>
      <c r="L9" s="347"/>
      <c r="M9" s="347"/>
      <c r="N9" s="303"/>
    </row>
    <row r="10" spans="1:14" ht="26.25" customHeight="1">
      <c r="B10" s="345" t="s">
        <v>68</v>
      </c>
      <c r="C10" s="31">
        <v>10751</v>
      </c>
      <c r="D10" s="163">
        <v>694053733.55000007</v>
      </c>
      <c r="E10" s="31">
        <v>9322</v>
      </c>
      <c r="F10" s="163">
        <v>676535139.14999998</v>
      </c>
      <c r="G10" s="258">
        <v>133</v>
      </c>
      <c r="H10" s="13">
        <v>51224381.740000002</v>
      </c>
      <c r="I10" s="143">
        <f t="shared" si="0"/>
        <v>20206</v>
      </c>
      <c r="J10" s="264">
        <f t="shared" si="1"/>
        <v>1421813254.4400001</v>
      </c>
      <c r="K10" s="24"/>
      <c r="L10" s="24"/>
      <c r="M10" s="314"/>
    </row>
    <row r="11" spans="1:14" ht="26.25" customHeight="1">
      <c r="B11" s="345" t="s">
        <v>1921</v>
      </c>
      <c r="C11" s="31">
        <v>10732</v>
      </c>
      <c r="D11" s="163">
        <v>686315181.48999989</v>
      </c>
      <c r="E11" s="31">
        <v>9291</v>
      </c>
      <c r="F11" s="163">
        <v>672660377.82000005</v>
      </c>
      <c r="G11" s="258">
        <v>132</v>
      </c>
      <c r="H11" s="13">
        <v>51194348.25</v>
      </c>
      <c r="I11" s="143">
        <f t="shared" si="0"/>
        <v>20155</v>
      </c>
      <c r="J11" s="264">
        <f t="shared" si="1"/>
        <v>1410169907.5599999</v>
      </c>
      <c r="K11" s="24"/>
      <c r="L11" s="24"/>
      <c r="M11" s="314"/>
    </row>
    <row r="12" spans="1:14" s="6" customFormat="1" ht="26.25" customHeight="1">
      <c r="A12" s="169"/>
      <c r="B12" s="345" t="s">
        <v>70</v>
      </c>
      <c r="C12" s="31">
        <v>10708</v>
      </c>
      <c r="D12" s="163">
        <v>672098576.54000008</v>
      </c>
      <c r="E12" s="31">
        <v>9268</v>
      </c>
      <c r="F12" s="163">
        <v>670654500.38999999</v>
      </c>
      <c r="G12" s="164">
        <v>131</v>
      </c>
      <c r="H12" s="163">
        <v>62229780.359999999</v>
      </c>
      <c r="I12" s="143">
        <f t="shared" si="0"/>
        <v>20107</v>
      </c>
      <c r="J12" s="264">
        <f t="shared" si="1"/>
        <v>1404982857.29</v>
      </c>
      <c r="K12" s="62"/>
      <c r="L12" s="62"/>
      <c r="M12" s="348"/>
      <c r="N12" s="169"/>
    </row>
    <row r="13" spans="1:14" ht="26.25" customHeight="1">
      <c r="B13" s="345" t="s">
        <v>71</v>
      </c>
      <c r="C13" s="31">
        <v>10205</v>
      </c>
      <c r="D13" s="163">
        <v>647460554.99000001</v>
      </c>
      <c r="E13" s="31">
        <v>9238</v>
      </c>
      <c r="F13" s="163">
        <v>665941651</v>
      </c>
      <c r="G13" s="258">
        <v>69</v>
      </c>
      <c r="H13" s="13">
        <v>29771166.469999999</v>
      </c>
      <c r="I13" s="143">
        <f t="shared" si="0"/>
        <v>19512</v>
      </c>
      <c r="J13" s="264">
        <f t="shared" si="1"/>
        <v>1343173372.46</v>
      </c>
      <c r="K13" s="24"/>
      <c r="L13" s="24"/>
      <c r="M13" s="314"/>
    </row>
    <row r="14" spans="1:14" ht="26.25" customHeight="1">
      <c r="B14" s="345" t="s">
        <v>1572</v>
      </c>
      <c r="C14" s="31">
        <v>10190</v>
      </c>
      <c r="D14" s="163">
        <v>653898648.88000011</v>
      </c>
      <c r="E14" s="31">
        <v>9219</v>
      </c>
      <c r="F14" s="163">
        <v>670629484.23000002</v>
      </c>
      <c r="G14" s="258">
        <v>67</v>
      </c>
      <c r="H14" s="13">
        <v>28983700.07</v>
      </c>
      <c r="I14" s="143">
        <f t="shared" si="0"/>
        <v>19476</v>
      </c>
      <c r="J14" s="264">
        <f t="shared" si="1"/>
        <v>1353511833.1800001</v>
      </c>
      <c r="K14" s="24"/>
      <c r="L14" s="24"/>
      <c r="M14" s="314"/>
    </row>
    <row r="15" spans="1:14" ht="26.25" customHeight="1">
      <c r="B15" s="345" t="s">
        <v>1573</v>
      </c>
      <c r="C15" s="31">
        <v>10164</v>
      </c>
      <c r="D15" s="163">
        <v>645378889.77999997</v>
      </c>
      <c r="E15" s="31">
        <v>9197</v>
      </c>
      <c r="F15" s="163">
        <v>667080995.50999999</v>
      </c>
      <c r="G15" s="258">
        <v>67</v>
      </c>
      <c r="H15" s="13">
        <v>28983700.07</v>
      </c>
      <c r="I15" s="143">
        <f t="shared" si="0"/>
        <v>19428</v>
      </c>
      <c r="J15" s="264">
        <f t="shared" si="1"/>
        <v>1341443585.3599999</v>
      </c>
      <c r="K15" s="24"/>
      <c r="L15" s="24"/>
      <c r="M15" s="314"/>
    </row>
    <row r="16" spans="1:14" ht="26.25" customHeight="1">
      <c r="B16" s="345" t="s">
        <v>1574</v>
      </c>
      <c r="C16" s="31">
        <v>10134</v>
      </c>
      <c r="D16" s="163">
        <v>642857714.2700001</v>
      </c>
      <c r="E16" s="31">
        <v>9174</v>
      </c>
      <c r="F16" s="163">
        <v>660546367.08000004</v>
      </c>
      <c r="G16" s="258">
        <v>67</v>
      </c>
      <c r="H16" s="13">
        <v>28983700.07</v>
      </c>
      <c r="I16" s="143">
        <f t="shared" si="0"/>
        <v>19375</v>
      </c>
      <c r="J16" s="264">
        <f t="shared" si="1"/>
        <v>1332387781.4200001</v>
      </c>
      <c r="K16" s="24"/>
      <c r="L16" s="24"/>
      <c r="M16" s="314"/>
    </row>
    <row r="17" spans="1:14" ht="26.25" customHeight="1">
      <c r="B17" s="345" t="s">
        <v>1575</v>
      </c>
      <c r="C17" s="31">
        <v>10109</v>
      </c>
      <c r="D17" s="163">
        <v>640980221.81000018</v>
      </c>
      <c r="E17" s="31">
        <v>9120</v>
      </c>
      <c r="F17" s="163">
        <v>656751139.27999997</v>
      </c>
      <c r="G17" s="258">
        <v>68</v>
      </c>
      <c r="H17" s="13">
        <v>28926005.579999998</v>
      </c>
      <c r="I17" s="143">
        <f t="shared" si="0"/>
        <v>19297</v>
      </c>
      <c r="J17" s="264">
        <f t="shared" si="1"/>
        <v>1326657366.6700001</v>
      </c>
      <c r="K17" s="24"/>
      <c r="L17" s="24"/>
      <c r="M17" s="314"/>
    </row>
    <row r="18" spans="1:14" s="6" customFormat="1" ht="26.25" customHeight="1">
      <c r="A18" s="169"/>
      <c r="B18" s="345" t="s">
        <v>1576</v>
      </c>
      <c r="C18" s="31">
        <v>10157</v>
      </c>
      <c r="D18" s="163">
        <v>673839250.93999994</v>
      </c>
      <c r="E18" s="31">
        <v>9101</v>
      </c>
      <c r="F18" s="163">
        <v>654932137.09000003</v>
      </c>
      <c r="G18" s="164">
        <v>91</v>
      </c>
      <c r="H18" s="163">
        <v>28621741.719999999</v>
      </c>
      <c r="I18" s="143">
        <f t="shared" si="0"/>
        <v>19349</v>
      </c>
      <c r="J18" s="264">
        <f t="shared" si="1"/>
        <v>1357393129.75</v>
      </c>
      <c r="K18" s="62"/>
      <c r="L18" s="62"/>
      <c r="M18" s="348"/>
      <c r="N18" s="169"/>
    </row>
    <row r="19" spans="1:14" ht="26.25" customHeight="1">
      <c r="B19" s="345" t="s">
        <v>1577</v>
      </c>
      <c r="C19" s="31">
        <v>10123</v>
      </c>
      <c r="D19" s="163">
        <v>645318953.56999993</v>
      </c>
      <c r="E19" s="31">
        <v>9083</v>
      </c>
      <c r="F19" s="163">
        <v>654368597.75</v>
      </c>
      <c r="G19" s="258">
        <v>96</v>
      </c>
      <c r="H19" s="13">
        <v>40575972.880000003</v>
      </c>
      <c r="I19" s="143">
        <f t="shared" si="0"/>
        <v>19302</v>
      </c>
      <c r="J19" s="264">
        <f t="shared" si="1"/>
        <v>1340263524.2</v>
      </c>
      <c r="K19" s="24"/>
      <c r="L19" s="24"/>
      <c r="M19" s="314"/>
    </row>
    <row r="20" spans="1:14" ht="25.5" customHeight="1">
      <c r="B20" s="154" t="s">
        <v>65</v>
      </c>
      <c r="C20" s="141"/>
      <c r="D20" s="266">
        <f>SUM(D8:D19)</f>
        <v>7962670922.79</v>
      </c>
      <c r="E20" s="141"/>
      <c r="F20" s="155">
        <f>SUM(F8:F19)</f>
        <v>8012613411.0600004</v>
      </c>
      <c r="G20" s="154"/>
      <c r="H20" s="155">
        <f>SUM(H8:H19)</f>
        <v>508362863.73000002</v>
      </c>
      <c r="I20" s="154"/>
      <c r="J20" s="155">
        <f>SUM(J8:J19)</f>
        <v>16483647197.580002</v>
      </c>
    </row>
  </sheetData>
  <mergeCells count="8">
    <mergeCell ref="C6:D6"/>
    <mergeCell ref="E6:F6"/>
    <mergeCell ref="G6:H6"/>
    <mergeCell ref="I6:J6"/>
    <mergeCell ref="B1:K1"/>
    <mergeCell ref="B2:K2"/>
    <mergeCell ref="B3:K3"/>
    <mergeCell ref="B4:K4"/>
  </mergeCells>
  <pageMargins left="0.5" right="0.5" top="0.75" bottom="0.5" header="0.3" footer="0.5"/>
  <pageSetup paperSize="9" firstPageNumber="101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9" zoomScale="106" zoomScaleNormal="106" workbookViewId="0">
      <selection activeCell="E9" sqref="E9"/>
    </sheetView>
  </sheetViews>
  <sheetFormatPr defaultRowHeight="15"/>
  <cols>
    <col min="1" max="1" width="2.85546875" style="142" customWidth="1"/>
    <col min="2" max="2" width="9.85546875" style="170" customWidth="1"/>
    <col min="3" max="3" width="36.5703125" style="360" customWidth="1"/>
    <col min="4" max="4" width="20.7109375" style="151" customWidth="1"/>
    <col min="5" max="7" width="20.7109375" style="170" customWidth="1"/>
    <col min="8" max="8" width="9.140625" style="142"/>
  </cols>
  <sheetData>
    <row r="1" spans="1:11" s="101" customFormat="1" ht="21.95" hidden="1" customHeight="1">
      <c r="A1" s="142"/>
      <c r="B1" s="599" t="s">
        <v>0</v>
      </c>
      <c r="C1" s="599"/>
      <c r="D1" s="599"/>
      <c r="E1" s="599"/>
      <c r="F1" s="599"/>
      <c r="G1" s="599"/>
      <c r="H1" s="269"/>
      <c r="I1" s="16"/>
      <c r="J1" s="16"/>
    </row>
    <row r="2" spans="1:11" s="101" customFormat="1" ht="21.95" hidden="1" customHeight="1">
      <c r="A2" s="142"/>
      <c r="B2" s="600" t="s">
        <v>1571</v>
      </c>
      <c r="C2" s="600"/>
      <c r="D2" s="600"/>
      <c r="E2" s="600"/>
      <c r="F2" s="600"/>
      <c r="G2" s="600"/>
      <c r="H2" s="270"/>
      <c r="I2" s="16"/>
      <c r="J2" s="16"/>
    </row>
    <row r="3" spans="1:11" s="101" customFormat="1" ht="21.95" hidden="1" customHeight="1">
      <c r="A3" s="142"/>
      <c r="B3" s="600" t="s">
        <v>336</v>
      </c>
      <c r="C3" s="600"/>
      <c r="D3" s="600"/>
      <c r="E3" s="600"/>
      <c r="F3" s="600"/>
      <c r="G3" s="600"/>
      <c r="H3" s="270"/>
      <c r="I3" s="102"/>
      <c r="J3" s="102"/>
      <c r="K3" s="102"/>
    </row>
    <row r="4" spans="1:11" s="101" customFormat="1" ht="24.95" customHeight="1">
      <c r="A4" s="142"/>
      <c r="B4" s="599" t="s">
        <v>2025</v>
      </c>
      <c r="C4" s="599"/>
      <c r="D4" s="599"/>
      <c r="E4" s="599"/>
      <c r="F4" s="599"/>
      <c r="G4" s="599"/>
      <c r="H4" s="269"/>
      <c r="I4" s="103"/>
      <c r="J4" s="103"/>
      <c r="K4" s="103"/>
    </row>
    <row r="5" spans="1:11" ht="24.95" customHeight="1">
      <c r="B5" s="143"/>
      <c r="C5" s="349"/>
      <c r="D5" s="608" t="s">
        <v>1468</v>
      </c>
      <c r="E5" s="609"/>
      <c r="F5" s="610"/>
      <c r="G5" s="154">
        <v>2017</v>
      </c>
    </row>
    <row r="6" spans="1:11" ht="24.95" customHeight="1">
      <c r="B6" s="179" t="s">
        <v>89</v>
      </c>
      <c r="C6" s="190" t="s">
        <v>686</v>
      </c>
      <c r="D6" s="179" t="s">
        <v>819</v>
      </c>
      <c r="E6" s="179" t="s">
        <v>91</v>
      </c>
      <c r="F6" s="179" t="s">
        <v>93</v>
      </c>
      <c r="G6" s="179" t="s">
        <v>819</v>
      </c>
    </row>
    <row r="7" spans="1:11" ht="24.95" customHeight="1">
      <c r="B7" s="154"/>
      <c r="C7" s="190"/>
      <c r="D7" s="182" t="s">
        <v>1458</v>
      </c>
      <c r="E7" s="182" t="s">
        <v>1458</v>
      </c>
      <c r="F7" s="182" t="s">
        <v>1458</v>
      </c>
      <c r="G7" s="182" t="s">
        <v>1458</v>
      </c>
    </row>
    <row r="8" spans="1:11" ht="24.95" customHeight="1">
      <c r="B8" s="143">
        <v>434001</v>
      </c>
      <c r="C8" s="349" t="s">
        <v>687</v>
      </c>
      <c r="D8" s="331">
        <v>4728073542.25</v>
      </c>
      <c r="E8" s="331">
        <v>5100000000</v>
      </c>
      <c r="F8" s="162">
        <f>E8-D8</f>
        <v>371926457.75</v>
      </c>
      <c r="G8" s="331">
        <v>4347945875.1499996</v>
      </c>
    </row>
    <row r="9" spans="1:11" s="4" customFormat="1" ht="24.95" customHeight="1">
      <c r="A9" s="204"/>
      <c r="B9" s="31">
        <v>434002</v>
      </c>
      <c r="C9" s="350" t="s">
        <v>688</v>
      </c>
      <c r="D9" s="13">
        <v>2765021112.1100001</v>
      </c>
      <c r="E9" s="331">
        <v>1000000000</v>
      </c>
      <c r="F9" s="162">
        <f t="shared" ref="F9:F10" si="0">E9-D9</f>
        <v>-1765021112.1100001</v>
      </c>
      <c r="G9" s="264">
        <v>1782760544.4100001</v>
      </c>
      <c r="H9" s="204"/>
    </row>
    <row r="10" spans="1:11" s="26" customFormat="1" ht="24.95" customHeight="1">
      <c r="A10" s="263"/>
      <c r="B10" s="31">
        <v>434017</v>
      </c>
      <c r="C10" s="350" t="s">
        <v>1484</v>
      </c>
      <c r="D10" s="13">
        <v>0</v>
      </c>
      <c r="E10" s="331">
        <v>50048060.090000004</v>
      </c>
      <c r="F10" s="162">
        <f t="shared" si="0"/>
        <v>50048060.090000004</v>
      </c>
      <c r="G10" s="264">
        <v>0</v>
      </c>
      <c r="H10" s="263"/>
    </row>
    <row r="11" spans="1:11" s="30" customFormat="1" ht="24.95" customHeight="1">
      <c r="A11" s="352"/>
      <c r="B11" s="353"/>
      <c r="C11" s="354" t="s">
        <v>65</v>
      </c>
      <c r="D11" s="293">
        <f>SUM(D8:D10)</f>
        <v>7493094654.3600006</v>
      </c>
      <c r="E11" s="293">
        <f>SUM(E8:E10)</f>
        <v>6150048060.0900002</v>
      </c>
      <c r="F11" s="293">
        <f>SUM(F8:F10)</f>
        <v>-1343046594.2700002</v>
      </c>
      <c r="G11" s="293">
        <f>SUM(G8:G10)</f>
        <v>6130706419.5599995</v>
      </c>
      <c r="H11" s="352"/>
    </row>
    <row r="12" spans="1:11" s="30" customFormat="1" ht="24.95" customHeight="1">
      <c r="A12" s="352"/>
      <c r="B12" s="517"/>
      <c r="C12" s="518"/>
      <c r="D12" s="519"/>
      <c r="E12" s="519"/>
      <c r="F12" s="519"/>
      <c r="G12" s="519"/>
      <c r="H12" s="352"/>
    </row>
    <row r="13" spans="1:11" s="27" customFormat="1" ht="24.95" customHeight="1">
      <c r="A13" s="265"/>
      <c r="B13" s="611" t="s">
        <v>2026</v>
      </c>
      <c r="C13" s="611"/>
      <c r="D13" s="611"/>
      <c r="E13" s="611"/>
      <c r="F13" s="611"/>
      <c r="G13" s="611"/>
      <c r="H13" s="265"/>
    </row>
    <row r="14" spans="1:11" s="27" customFormat="1" ht="24.95" customHeight="1">
      <c r="A14" s="265"/>
      <c r="B14" s="355"/>
      <c r="C14" s="355"/>
      <c r="D14" s="608" t="s">
        <v>1468</v>
      </c>
      <c r="E14" s="609"/>
      <c r="F14" s="610"/>
      <c r="G14" s="154">
        <v>2017</v>
      </c>
      <c r="H14" s="265"/>
    </row>
    <row r="15" spans="1:11" s="27" customFormat="1" ht="24.95" customHeight="1">
      <c r="A15" s="265"/>
      <c r="B15" s="179" t="s">
        <v>89</v>
      </c>
      <c r="C15" s="190" t="s">
        <v>686</v>
      </c>
      <c r="D15" s="179" t="s">
        <v>819</v>
      </c>
      <c r="E15" s="179" t="s">
        <v>91</v>
      </c>
      <c r="F15" s="179" t="s">
        <v>93</v>
      </c>
      <c r="G15" s="179" t="s">
        <v>819</v>
      </c>
      <c r="H15" s="265"/>
    </row>
    <row r="16" spans="1:11" s="27" customFormat="1" ht="24.95" customHeight="1">
      <c r="A16" s="265"/>
      <c r="B16" s="154"/>
      <c r="C16" s="190"/>
      <c r="D16" s="182" t="s">
        <v>1458</v>
      </c>
      <c r="E16" s="182" t="s">
        <v>1458</v>
      </c>
      <c r="F16" s="182" t="s">
        <v>1458</v>
      </c>
      <c r="G16" s="182" t="s">
        <v>1458</v>
      </c>
      <c r="H16" s="265"/>
    </row>
    <row r="17" spans="1:8" ht="24.95" customHeight="1">
      <c r="B17" s="356">
        <v>434003</v>
      </c>
      <c r="C17" s="357" t="s">
        <v>1471</v>
      </c>
      <c r="D17" s="358">
        <v>65000000</v>
      </c>
      <c r="E17" s="358">
        <v>550000000</v>
      </c>
      <c r="F17" s="275">
        <f>E17-D17</f>
        <v>485000000</v>
      </c>
      <c r="G17" s="264">
        <v>60550000</v>
      </c>
    </row>
    <row r="18" spans="1:8" s="135" customFormat="1" ht="24.95" customHeight="1">
      <c r="A18" s="142"/>
      <c r="B18" s="356">
        <v>434003</v>
      </c>
      <c r="C18" s="357" t="s">
        <v>1943</v>
      </c>
      <c r="D18" s="358">
        <v>236210068.33000001</v>
      </c>
      <c r="E18" s="358">
        <v>11472863958.4</v>
      </c>
      <c r="F18" s="275">
        <f>E18-D18-D20</f>
        <v>6597354321.8399992</v>
      </c>
      <c r="G18" s="264"/>
      <c r="H18" s="142"/>
    </row>
    <row r="19" spans="1:8" s="101" customFormat="1" ht="24.95" customHeight="1">
      <c r="A19" s="142"/>
      <c r="B19" s="356">
        <v>434005</v>
      </c>
      <c r="C19" s="357" t="s">
        <v>1469</v>
      </c>
      <c r="D19" s="358">
        <v>191523347.93000001</v>
      </c>
      <c r="E19" s="358"/>
      <c r="F19" s="275"/>
      <c r="G19" s="264"/>
      <c r="H19" s="142"/>
    </row>
    <row r="20" spans="1:8" ht="24.95" customHeight="1">
      <c r="B20" s="356">
        <v>434005</v>
      </c>
      <c r="C20" s="357" t="s">
        <v>1470</v>
      </c>
      <c r="D20" s="358">
        <f>'D LOANS REPYT '!H19</f>
        <v>4639299568.2300005</v>
      </c>
      <c r="E20" s="358"/>
      <c r="F20" s="275"/>
      <c r="G20" s="264">
        <v>7028430295.3900003</v>
      </c>
    </row>
    <row r="21" spans="1:8" ht="24.95" customHeight="1">
      <c r="B21" s="143"/>
      <c r="C21" s="359" t="s">
        <v>65</v>
      </c>
      <c r="D21" s="266">
        <f>SUM(D17:D20)</f>
        <v>5132032984.4900007</v>
      </c>
      <c r="E21" s="266">
        <f>SUM(E17:E20)</f>
        <v>12022863958.4</v>
      </c>
      <c r="F21" s="266">
        <f>SUM(F17:F20)</f>
        <v>7082354321.8399992</v>
      </c>
      <c r="G21" s="266">
        <f>SUM(G17:G20)</f>
        <v>7088980295.3900003</v>
      </c>
    </row>
    <row r="23" spans="1:8" hidden="1">
      <c r="E23" s="151">
        <f>E21+E11</f>
        <v>18172912018.489998</v>
      </c>
      <c r="F23" s="150"/>
    </row>
    <row r="24" spans="1:8">
      <c r="G24" s="150"/>
    </row>
  </sheetData>
  <mergeCells count="7">
    <mergeCell ref="B1:G1"/>
    <mergeCell ref="B2:G2"/>
    <mergeCell ref="B3:G3"/>
    <mergeCell ref="B4:G4"/>
    <mergeCell ref="D14:F14"/>
    <mergeCell ref="B13:G13"/>
    <mergeCell ref="D5:F5"/>
  </mergeCells>
  <pageMargins left="0.5" right="0.5" top="0.75" bottom="0.25" header="0.3" footer="0.5"/>
  <pageSetup paperSize="9" firstPageNumber="102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7"/>
  <sheetViews>
    <sheetView topLeftCell="A57" zoomScale="106" zoomScaleNormal="106" workbookViewId="0">
      <selection activeCell="C68" sqref="C68"/>
    </sheetView>
  </sheetViews>
  <sheetFormatPr defaultRowHeight="15"/>
  <cols>
    <col min="1" max="1" width="2.85546875" style="142" customWidth="1"/>
    <col min="2" max="2" width="6.28515625" style="170" customWidth="1"/>
    <col min="3" max="3" width="14.42578125" style="170" customWidth="1"/>
    <col min="4" max="4" width="10.5703125" style="170" customWidth="1"/>
    <col min="5" max="5" width="42.42578125" style="360" customWidth="1"/>
    <col min="6" max="7" width="17.7109375" style="151" customWidth="1"/>
    <col min="8" max="8" width="17.7109375" style="170" customWidth="1"/>
    <col min="9" max="9" width="9.140625" style="142"/>
    <col min="10" max="16384" width="9.140625" style="115"/>
  </cols>
  <sheetData>
    <row r="1" spans="1:11" ht="21.95" hidden="1" customHeight="1">
      <c r="B1" s="599" t="s">
        <v>0</v>
      </c>
      <c r="C1" s="599"/>
      <c r="D1" s="599"/>
      <c r="E1" s="599"/>
      <c r="F1" s="599"/>
      <c r="G1" s="599"/>
      <c r="H1" s="599"/>
      <c r="I1" s="171"/>
      <c r="J1" s="16"/>
    </row>
    <row r="2" spans="1:11" ht="21.95" hidden="1" customHeight="1">
      <c r="B2" s="600" t="s">
        <v>1571</v>
      </c>
      <c r="C2" s="600"/>
      <c r="D2" s="600"/>
      <c r="E2" s="600"/>
      <c r="F2" s="600"/>
      <c r="G2" s="600"/>
      <c r="H2" s="600"/>
      <c r="I2" s="171"/>
      <c r="J2" s="16"/>
    </row>
    <row r="3" spans="1:11" ht="21.95" hidden="1" customHeight="1">
      <c r="B3" s="600" t="s">
        <v>336</v>
      </c>
      <c r="C3" s="600"/>
      <c r="D3" s="600"/>
      <c r="E3" s="600"/>
      <c r="F3" s="600"/>
      <c r="G3" s="600"/>
      <c r="H3" s="600"/>
      <c r="I3" s="298"/>
      <c r="J3" s="116"/>
      <c r="K3" s="116"/>
    </row>
    <row r="4" spans="1:11" ht="21.95" customHeight="1">
      <c r="B4" s="599" t="s">
        <v>1472</v>
      </c>
      <c r="C4" s="599"/>
      <c r="D4" s="599"/>
      <c r="E4" s="599"/>
      <c r="F4" s="599"/>
      <c r="G4" s="599"/>
      <c r="H4" s="599"/>
      <c r="I4" s="299"/>
      <c r="J4" s="117"/>
      <c r="K4" s="117"/>
    </row>
    <row r="5" spans="1:11" ht="12.75" customHeight="1">
      <c r="B5" s="361"/>
      <c r="C5" s="361"/>
    </row>
    <row r="6" spans="1:11" s="16" customFormat="1" ht="21.95" customHeight="1">
      <c r="A6" s="171"/>
      <c r="B6" s="304" t="s">
        <v>87</v>
      </c>
      <c r="C6" s="304" t="s">
        <v>88</v>
      </c>
      <c r="D6" s="304" t="s">
        <v>89</v>
      </c>
      <c r="E6" s="305" t="s">
        <v>337</v>
      </c>
      <c r="F6" s="243" t="s">
        <v>92</v>
      </c>
      <c r="G6" s="304" t="s">
        <v>91</v>
      </c>
      <c r="H6" s="304" t="s">
        <v>93</v>
      </c>
      <c r="I6" s="171"/>
    </row>
    <row r="7" spans="1:11" s="16" customFormat="1" ht="21" customHeight="1">
      <c r="A7" s="171"/>
      <c r="B7" s="141"/>
      <c r="C7" s="141"/>
      <c r="D7" s="141"/>
      <c r="E7" s="305"/>
      <c r="F7" s="362" t="s">
        <v>1458</v>
      </c>
      <c r="G7" s="182" t="s">
        <v>1458</v>
      </c>
      <c r="H7" s="182" t="s">
        <v>1458</v>
      </c>
      <c r="I7" s="171"/>
    </row>
    <row r="8" spans="1:11" s="16" customFormat="1" ht="20.100000000000001" customHeight="1">
      <c r="A8" s="171"/>
      <c r="B8" s="141"/>
      <c r="C8" s="141"/>
      <c r="D8" s="141"/>
      <c r="E8" s="311" t="s">
        <v>90</v>
      </c>
      <c r="F8" s="293"/>
      <c r="G8" s="296"/>
      <c r="H8" s="242"/>
      <c r="I8" s="171"/>
    </row>
    <row r="9" spans="1:11" s="16" customFormat="1" ht="20.100000000000001" customHeight="1">
      <c r="A9" s="171"/>
      <c r="B9" s="143">
        <v>1</v>
      </c>
      <c r="C9" s="56" t="s">
        <v>338</v>
      </c>
      <c r="D9" s="31" t="s">
        <v>94</v>
      </c>
      <c r="E9" s="312" t="s">
        <v>95</v>
      </c>
      <c r="F9" s="13">
        <v>17879919.960000001</v>
      </c>
      <c r="G9" s="13">
        <v>20000000</v>
      </c>
      <c r="H9" s="162">
        <f>G9-F9</f>
        <v>2120080.0399999991</v>
      </c>
      <c r="I9" s="171"/>
    </row>
    <row r="10" spans="1:11" s="16" customFormat="1" ht="20.100000000000001" customHeight="1">
      <c r="A10" s="171"/>
      <c r="B10" s="143">
        <v>2</v>
      </c>
      <c r="C10" s="58" t="s">
        <v>339</v>
      </c>
      <c r="D10" s="31" t="s">
        <v>340</v>
      </c>
      <c r="E10" s="312" t="s">
        <v>341</v>
      </c>
      <c r="F10" s="13">
        <v>2640000</v>
      </c>
      <c r="G10" s="13">
        <v>7937277.0599999996</v>
      </c>
      <c r="H10" s="162">
        <f t="shared" ref="H10:H73" si="0">G10-F10</f>
        <v>5297277.0599999996</v>
      </c>
      <c r="I10" s="171"/>
    </row>
    <row r="11" spans="1:11" s="16" customFormat="1" ht="20.100000000000001" customHeight="1">
      <c r="A11" s="171"/>
      <c r="B11" s="143">
        <v>3</v>
      </c>
      <c r="C11" s="58" t="s">
        <v>96</v>
      </c>
      <c r="D11" s="31" t="s">
        <v>97</v>
      </c>
      <c r="E11" s="312" t="s">
        <v>1991</v>
      </c>
      <c r="F11" s="13">
        <v>133254682</v>
      </c>
      <c r="G11" s="13">
        <v>147406574.05000001</v>
      </c>
      <c r="H11" s="162">
        <f t="shared" si="0"/>
        <v>14151892.050000012</v>
      </c>
      <c r="I11" s="171"/>
    </row>
    <row r="12" spans="1:11" s="16" customFormat="1" ht="20.100000000000001" customHeight="1">
      <c r="A12" s="171"/>
      <c r="B12" s="143">
        <v>4</v>
      </c>
      <c r="C12" s="58" t="s">
        <v>342</v>
      </c>
      <c r="D12" s="31" t="s">
        <v>343</v>
      </c>
      <c r="E12" s="312" t="s">
        <v>344</v>
      </c>
      <c r="F12" s="13">
        <v>1200000</v>
      </c>
      <c r="G12" s="13">
        <v>3401690.17</v>
      </c>
      <c r="H12" s="162">
        <f t="shared" si="0"/>
        <v>2201690.17</v>
      </c>
      <c r="I12" s="171"/>
    </row>
    <row r="13" spans="1:11" s="16" customFormat="1" ht="20.100000000000001" customHeight="1">
      <c r="A13" s="171"/>
      <c r="B13" s="143">
        <v>5</v>
      </c>
      <c r="C13" s="58" t="s">
        <v>345</v>
      </c>
      <c r="D13" s="31" t="s">
        <v>346</v>
      </c>
      <c r="E13" s="312" t="s">
        <v>347</v>
      </c>
      <c r="F13" s="13">
        <v>0</v>
      </c>
      <c r="G13" s="13">
        <v>2535586.89</v>
      </c>
      <c r="H13" s="162">
        <f t="shared" si="0"/>
        <v>2535586.89</v>
      </c>
      <c r="I13" s="171"/>
    </row>
    <row r="14" spans="1:11" s="16" customFormat="1" ht="20.100000000000001" customHeight="1">
      <c r="A14" s="171"/>
      <c r="B14" s="143">
        <v>6</v>
      </c>
      <c r="C14" s="58" t="s">
        <v>348</v>
      </c>
      <c r="D14" s="31" t="s">
        <v>349</v>
      </c>
      <c r="E14" s="312" t="s">
        <v>350</v>
      </c>
      <c r="F14" s="13">
        <v>0</v>
      </c>
      <c r="G14" s="13">
        <v>1020507.05</v>
      </c>
      <c r="H14" s="162">
        <f t="shared" si="0"/>
        <v>1020507.05</v>
      </c>
      <c r="I14" s="171"/>
    </row>
    <row r="15" spans="1:11" s="16" customFormat="1" ht="20.100000000000001" customHeight="1">
      <c r="A15" s="171"/>
      <c r="B15" s="143">
        <v>7</v>
      </c>
      <c r="C15" s="58" t="s">
        <v>99</v>
      </c>
      <c r="D15" s="31" t="s">
        <v>100</v>
      </c>
      <c r="E15" s="312" t="s">
        <v>101</v>
      </c>
      <c r="F15" s="13">
        <v>1100000</v>
      </c>
      <c r="G15" s="13">
        <v>2551267.63</v>
      </c>
      <c r="H15" s="162">
        <f t="shared" si="0"/>
        <v>1451267.63</v>
      </c>
      <c r="I15" s="171"/>
    </row>
    <row r="16" spans="1:11" s="16" customFormat="1" ht="20.100000000000001" customHeight="1">
      <c r="A16" s="171"/>
      <c r="B16" s="143">
        <v>8</v>
      </c>
      <c r="C16" s="175" t="s">
        <v>1969</v>
      </c>
      <c r="D16" s="31" t="s">
        <v>351</v>
      </c>
      <c r="E16" s="312" t="s">
        <v>352</v>
      </c>
      <c r="F16" s="13">
        <v>0</v>
      </c>
      <c r="G16" s="13">
        <v>5669483.6200000001</v>
      </c>
      <c r="H16" s="162">
        <f t="shared" si="0"/>
        <v>5669483.6200000001</v>
      </c>
      <c r="I16" s="171"/>
    </row>
    <row r="17" spans="1:9" s="16" customFormat="1" ht="20.100000000000001" customHeight="1">
      <c r="A17" s="171"/>
      <c r="B17" s="143">
        <v>9</v>
      </c>
      <c r="C17" s="58" t="s">
        <v>102</v>
      </c>
      <c r="D17" s="31" t="s">
        <v>103</v>
      </c>
      <c r="E17" s="312" t="s">
        <v>104</v>
      </c>
      <c r="F17" s="13">
        <v>600000</v>
      </c>
      <c r="G17" s="13">
        <v>1700845.09</v>
      </c>
      <c r="H17" s="162">
        <f t="shared" si="0"/>
        <v>1100845.0900000001</v>
      </c>
      <c r="I17" s="171"/>
    </row>
    <row r="18" spans="1:9" s="16" customFormat="1" ht="20.100000000000001" customHeight="1">
      <c r="A18" s="171"/>
      <c r="B18" s="143">
        <v>10</v>
      </c>
      <c r="C18" s="58" t="s">
        <v>353</v>
      </c>
      <c r="D18" s="31" t="s">
        <v>354</v>
      </c>
      <c r="E18" s="312" t="s">
        <v>355</v>
      </c>
      <c r="F18" s="13">
        <v>2150000</v>
      </c>
      <c r="G18" s="13">
        <v>5303380.34</v>
      </c>
      <c r="H18" s="162">
        <f t="shared" si="0"/>
        <v>3153380.34</v>
      </c>
      <c r="I18" s="171"/>
    </row>
    <row r="19" spans="1:9" s="16" customFormat="1" ht="20.100000000000001" customHeight="1">
      <c r="A19" s="171"/>
      <c r="B19" s="143">
        <v>11</v>
      </c>
      <c r="C19" s="58" t="s">
        <v>356</v>
      </c>
      <c r="D19" s="31" t="s">
        <v>357</v>
      </c>
      <c r="E19" s="316" t="s">
        <v>358</v>
      </c>
      <c r="F19" s="13">
        <v>1100000</v>
      </c>
      <c r="G19" s="13">
        <v>4000000</v>
      </c>
      <c r="H19" s="162">
        <f t="shared" si="0"/>
        <v>2900000</v>
      </c>
      <c r="I19" s="171"/>
    </row>
    <row r="20" spans="1:9" s="17" customFormat="1" ht="20.100000000000001" customHeight="1">
      <c r="A20" s="251"/>
      <c r="B20" s="143">
        <v>12</v>
      </c>
      <c r="C20" s="58" t="s">
        <v>359</v>
      </c>
      <c r="D20" s="31" t="s">
        <v>360</v>
      </c>
      <c r="E20" s="316" t="s">
        <v>361</v>
      </c>
      <c r="F20" s="13">
        <v>825000</v>
      </c>
      <c r="G20" s="13">
        <v>1700845.09</v>
      </c>
      <c r="H20" s="162">
        <f t="shared" si="0"/>
        <v>875845.09000000008</v>
      </c>
      <c r="I20" s="251"/>
    </row>
    <row r="21" spans="1:9" s="17" customFormat="1" ht="20.100000000000001" customHeight="1">
      <c r="A21" s="251"/>
      <c r="B21" s="143">
        <v>13</v>
      </c>
      <c r="C21" s="58" t="s">
        <v>362</v>
      </c>
      <c r="D21" s="31" t="s">
        <v>363</v>
      </c>
      <c r="E21" s="316" t="s">
        <v>364</v>
      </c>
      <c r="F21" s="13">
        <v>2200000</v>
      </c>
      <c r="G21" s="13">
        <v>3500000</v>
      </c>
      <c r="H21" s="162">
        <f t="shared" si="0"/>
        <v>1300000</v>
      </c>
      <c r="I21" s="251"/>
    </row>
    <row r="22" spans="1:9" s="17" customFormat="1" ht="20.100000000000001" customHeight="1">
      <c r="A22" s="251"/>
      <c r="B22" s="143">
        <v>14</v>
      </c>
      <c r="C22" s="58" t="s">
        <v>365</v>
      </c>
      <c r="D22" s="31" t="s">
        <v>366</v>
      </c>
      <c r="E22" s="316" t="s">
        <v>367</v>
      </c>
      <c r="F22" s="13">
        <v>15693600</v>
      </c>
      <c r="G22" s="13">
        <v>20000000</v>
      </c>
      <c r="H22" s="162">
        <f t="shared" si="0"/>
        <v>4306400</v>
      </c>
      <c r="I22" s="251"/>
    </row>
    <row r="23" spans="1:9" s="17" customFormat="1" ht="20.100000000000001" customHeight="1">
      <c r="A23" s="251"/>
      <c r="B23" s="143">
        <v>15</v>
      </c>
      <c r="C23" s="58" t="s">
        <v>105</v>
      </c>
      <c r="D23" s="31" t="s">
        <v>106</v>
      </c>
      <c r="E23" s="316" t="s">
        <v>107</v>
      </c>
      <c r="F23" s="13">
        <v>3840000</v>
      </c>
      <c r="G23" s="13">
        <v>6803380.3399999999</v>
      </c>
      <c r="H23" s="162">
        <f t="shared" si="0"/>
        <v>2963380.34</v>
      </c>
      <c r="I23" s="251"/>
    </row>
    <row r="24" spans="1:9" s="17" customFormat="1" ht="20.100000000000001" customHeight="1">
      <c r="A24" s="251"/>
      <c r="B24" s="143">
        <v>16</v>
      </c>
      <c r="C24" s="58" t="s">
        <v>368</v>
      </c>
      <c r="D24" s="31" t="s">
        <v>369</v>
      </c>
      <c r="E24" s="316" t="s">
        <v>370</v>
      </c>
      <c r="F24" s="13">
        <v>1200000</v>
      </c>
      <c r="G24" s="13">
        <v>1632811.28</v>
      </c>
      <c r="H24" s="162">
        <f t="shared" si="0"/>
        <v>432811.28</v>
      </c>
      <c r="I24" s="251"/>
    </row>
    <row r="25" spans="1:9" s="17" customFormat="1" ht="20.100000000000001" customHeight="1">
      <c r="A25" s="251"/>
      <c r="B25" s="143">
        <v>17</v>
      </c>
      <c r="C25" s="58" t="s">
        <v>371</v>
      </c>
      <c r="D25" s="31" t="s">
        <v>372</v>
      </c>
      <c r="E25" s="316" t="s">
        <v>373</v>
      </c>
      <c r="F25" s="13">
        <v>1200000</v>
      </c>
      <c r="G25" s="13">
        <v>3551267.63</v>
      </c>
      <c r="H25" s="162">
        <f t="shared" si="0"/>
        <v>2351267.63</v>
      </c>
      <c r="I25" s="251"/>
    </row>
    <row r="26" spans="1:9" s="17" customFormat="1" ht="20.100000000000001" customHeight="1">
      <c r="A26" s="251"/>
      <c r="B26" s="143">
        <v>18</v>
      </c>
      <c r="C26" s="59" t="s">
        <v>374</v>
      </c>
      <c r="D26" s="31" t="s">
        <v>375</v>
      </c>
      <c r="E26" s="316" t="s">
        <v>376</v>
      </c>
      <c r="F26" s="13">
        <v>1050000</v>
      </c>
      <c r="G26" s="13">
        <v>2041014.1</v>
      </c>
      <c r="H26" s="162">
        <f t="shared" si="0"/>
        <v>991014.10000000009</v>
      </c>
      <c r="I26" s="251"/>
    </row>
    <row r="27" spans="1:9" s="17" customFormat="1" ht="20.100000000000001" customHeight="1">
      <c r="A27" s="251"/>
      <c r="B27" s="143">
        <v>19</v>
      </c>
      <c r="C27" s="143" t="s">
        <v>377</v>
      </c>
      <c r="D27" s="143" t="s">
        <v>378</v>
      </c>
      <c r="E27" s="144" t="s">
        <v>379</v>
      </c>
      <c r="F27" s="22">
        <v>800000</v>
      </c>
      <c r="G27" s="264">
        <v>5669483.6200000001</v>
      </c>
      <c r="H27" s="162">
        <f t="shared" si="0"/>
        <v>4869483.62</v>
      </c>
      <c r="I27" s="251"/>
    </row>
    <row r="28" spans="1:9" s="17" customFormat="1" ht="20.100000000000001" customHeight="1">
      <c r="A28" s="251"/>
      <c r="B28" s="143">
        <v>20</v>
      </c>
      <c r="C28" s="143" t="s">
        <v>110</v>
      </c>
      <c r="D28" s="143" t="s">
        <v>111</v>
      </c>
      <c r="E28" s="144" t="s">
        <v>112</v>
      </c>
      <c r="F28" s="363">
        <v>5720000</v>
      </c>
      <c r="G28" s="351">
        <v>10123042.310000001</v>
      </c>
      <c r="H28" s="162">
        <f t="shared" si="0"/>
        <v>4403042.3100000005</v>
      </c>
      <c r="I28" s="251"/>
    </row>
    <row r="29" spans="1:9" s="17" customFormat="1" ht="20.100000000000001" customHeight="1">
      <c r="A29" s="251"/>
      <c r="B29" s="143">
        <v>21</v>
      </c>
      <c r="C29" s="143" t="s">
        <v>113</v>
      </c>
      <c r="D29" s="143" t="s">
        <v>114</v>
      </c>
      <c r="E29" s="144" t="s">
        <v>115</v>
      </c>
      <c r="F29" s="363">
        <v>14366760</v>
      </c>
      <c r="G29" s="351">
        <v>17455049.559999999</v>
      </c>
      <c r="H29" s="162">
        <f t="shared" si="0"/>
        <v>3088289.5599999987</v>
      </c>
      <c r="I29" s="251"/>
    </row>
    <row r="30" spans="1:9" s="17" customFormat="1" ht="20.100000000000001" customHeight="1">
      <c r="A30" s="251"/>
      <c r="B30" s="143">
        <v>22</v>
      </c>
      <c r="C30" s="59" t="s">
        <v>380</v>
      </c>
      <c r="D30" s="31" t="s">
        <v>381</v>
      </c>
      <c r="E30" s="316" t="s">
        <v>382</v>
      </c>
      <c r="F30" s="363">
        <v>240000</v>
      </c>
      <c r="G30" s="363">
        <v>3000000</v>
      </c>
      <c r="H30" s="162">
        <f t="shared" si="0"/>
        <v>2760000</v>
      </c>
      <c r="I30" s="251"/>
    </row>
    <row r="31" spans="1:9" s="17" customFormat="1" ht="20.100000000000001" customHeight="1">
      <c r="A31" s="251"/>
      <c r="B31" s="143">
        <v>23</v>
      </c>
      <c r="C31" s="59" t="s">
        <v>383</v>
      </c>
      <c r="D31" s="31" t="s">
        <v>384</v>
      </c>
      <c r="E31" s="316" t="s">
        <v>385</v>
      </c>
      <c r="F31" s="13">
        <v>5500000</v>
      </c>
      <c r="G31" s="13">
        <v>8633295.8300000001</v>
      </c>
      <c r="H31" s="162">
        <f t="shared" si="0"/>
        <v>3133295.83</v>
      </c>
      <c r="I31" s="251"/>
    </row>
    <row r="32" spans="1:9" s="17" customFormat="1" ht="20.100000000000001" customHeight="1">
      <c r="A32" s="251"/>
      <c r="B32" s="143">
        <v>24</v>
      </c>
      <c r="C32" s="59" t="s">
        <v>386</v>
      </c>
      <c r="D32" s="31" t="s">
        <v>387</v>
      </c>
      <c r="E32" s="316" t="s">
        <v>388</v>
      </c>
      <c r="F32" s="13">
        <v>17600000</v>
      </c>
      <c r="G32" s="13">
        <v>18000000</v>
      </c>
      <c r="H32" s="162">
        <f t="shared" si="0"/>
        <v>400000</v>
      </c>
      <c r="I32" s="251"/>
    </row>
    <row r="33" spans="1:10" s="17" customFormat="1" ht="20.100000000000001" customHeight="1">
      <c r="A33" s="251"/>
      <c r="B33" s="143">
        <v>25</v>
      </c>
      <c r="C33" s="59" t="s">
        <v>386</v>
      </c>
      <c r="D33" s="31" t="s">
        <v>387</v>
      </c>
      <c r="E33" s="316" t="s">
        <v>2000</v>
      </c>
      <c r="F33" s="13">
        <v>0</v>
      </c>
      <c r="G33" s="13">
        <v>50000000</v>
      </c>
      <c r="H33" s="162">
        <f t="shared" si="0"/>
        <v>50000000</v>
      </c>
      <c r="I33" s="251"/>
      <c r="J33" s="251"/>
    </row>
    <row r="34" spans="1:10" s="16" customFormat="1" ht="20.100000000000001" customHeight="1">
      <c r="A34" s="171"/>
      <c r="B34" s="143">
        <v>26</v>
      </c>
      <c r="C34" s="58" t="s">
        <v>116</v>
      </c>
      <c r="D34" s="31" t="s">
        <v>117</v>
      </c>
      <c r="E34" s="312" t="s">
        <v>118</v>
      </c>
      <c r="F34" s="13">
        <f>40000+400000</f>
        <v>440000</v>
      </c>
      <c r="G34" s="13">
        <v>2000000</v>
      </c>
      <c r="H34" s="162">
        <f t="shared" si="0"/>
        <v>1560000</v>
      </c>
      <c r="I34" s="171"/>
    </row>
    <row r="35" spans="1:10" s="16" customFormat="1" ht="20.100000000000001" customHeight="1">
      <c r="A35" s="171"/>
      <c r="B35" s="143">
        <v>27</v>
      </c>
      <c r="C35" s="58" t="s">
        <v>119</v>
      </c>
      <c r="D35" s="31" t="s">
        <v>120</v>
      </c>
      <c r="E35" s="316" t="s">
        <v>121</v>
      </c>
      <c r="F35" s="13">
        <v>400000</v>
      </c>
      <c r="G35" s="13">
        <v>2000000</v>
      </c>
      <c r="H35" s="162">
        <f t="shared" si="0"/>
        <v>1600000</v>
      </c>
      <c r="I35" s="171"/>
    </row>
    <row r="36" spans="1:10" s="16" customFormat="1" ht="20.100000000000001" customHeight="1">
      <c r="A36" s="171"/>
      <c r="B36" s="143">
        <v>28</v>
      </c>
      <c r="C36" s="58" t="s">
        <v>389</v>
      </c>
      <c r="D36" s="31" t="s">
        <v>390</v>
      </c>
      <c r="E36" s="316" t="s">
        <v>391</v>
      </c>
      <c r="F36" s="13">
        <v>400000</v>
      </c>
      <c r="G36" s="13">
        <v>1000000</v>
      </c>
      <c r="H36" s="162">
        <f t="shared" si="0"/>
        <v>600000</v>
      </c>
      <c r="I36" s="171"/>
    </row>
    <row r="37" spans="1:10" s="16" customFormat="1" ht="20.100000000000001" customHeight="1">
      <c r="A37" s="171"/>
      <c r="B37" s="143">
        <v>29</v>
      </c>
      <c r="C37" s="58" t="s">
        <v>392</v>
      </c>
      <c r="D37" s="31" t="s">
        <v>393</v>
      </c>
      <c r="E37" s="316" t="s">
        <v>394</v>
      </c>
      <c r="F37" s="13">
        <v>2620359.96</v>
      </c>
      <c r="G37" s="13">
        <v>3500000</v>
      </c>
      <c r="H37" s="162">
        <f t="shared" si="0"/>
        <v>879640.04</v>
      </c>
      <c r="I37" s="171"/>
    </row>
    <row r="38" spans="1:10" s="16" customFormat="1" ht="20.100000000000001" customHeight="1">
      <c r="A38" s="171"/>
      <c r="B38" s="143">
        <v>30</v>
      </c>
      <c r="C38" s="58" t="s">
        <v>395</v>
      </c>
      <c r="D38" s="31" t="s">
        <v>396</v>
      </c>
      <c r="E38" s="316" t="s">
        <v>397</v>
      </c>
      <c r="F38" s="13">
        <v>1200000</v>
      </c>
      <c r="G38" s="13">
        <v>1800000</v>
      </c>
      <c r="H38" s="162">
        <f t="shared" si="0"/>
        <v>600000</v>
      </c>
      <c r="I38" s="171"/>
    </row>
    <row r="39" spans="1:10" s="16" customFormat="1" ht="20.100000000000001" customHeight="1">
      <c r="A39" s="171"/>
      <c r="B39" s="143">
        <v>31</v>
      </c>
      <c r="C39" s="58" t="s">
        <v>398</v>
      </c>
      <c r="D39" s="31" t="s">
        <v>399</v>
      </c>
      <c r="E39" s="316" t="s">
        <v>400</v>
      </c>
      <c r="F39" s="13">
        <v>700000</v>
      </c>
      <c r="G39" s="13">
        <v>1530760.58</v>
      </c>
      <c r="H39" s="162">
        <f t="shared" si="0"/>
        <v>830760.58000000007</v>
      </c>
      <c r="I39" s="171"/>
    </row>
    <row r="40" spans="1:10" s="16" customFormat="1" ht="20.100000000000001" customHeight="1">
      <c r="A40" s="171"/>
      <c r="B40" s="143">
        <v>32</v>
      </c>
      <c r="C40" s="58" t="s">
        <v>125</v>
      </c>
      <c r="D40" s="31" t="s">
        <v>126</v>
      </c>
      <c r="E40" s="316" t="s">
        <v>127</v>
      </c>
      <c r="F40" s="13">
        <v>1067450000</v>
      </c>
      <c r="G40" s="13">
        <v>1500000000</v>
      </c>
      <c r="H40" s="162">
        <f t="shared" si="0"/>
        <v>432550000</v>
      </c>
      <c r="I40" s="171"/>
    </row>
    <row r="41" spans="1:10" s="16" customFormat="1" ht="20.100000000000001" customHeight="1">
      <c r="A41" s="171"/>
      <c r="B41" s="143">
        <v>33</v>
      </c>
      <c r="C41" s="58" t="s">
        <v>401</v>
      </c>
      <c r="D41" s="31" t="s">
        <v>402</v>
      </c>
      <c r="E41" s="316" t="s">
        <v>403</v>
      </c>
      <c r="F41" s="13">
        <v>0</v>
      </c>
      <c r="G41" s="13">
        <v>3061521.15</v>
      </c>
      <c r="H41" s="162">
        <f t="shared" si="0"/>
        <v>3061521.15</v>
      </c>
      <c r="I41" s="171"/>
    </row>
    <row r="42" spans="1:10" s="16" customFormat="1" ht="20.100000000000001" customHeight="1">
      <c r="A42" s="171"/>
      <c r="B42" s="143">
        <v>34</v>
      </c>
      <c r="C42" s="59" t="s">
        <v>128</v>
      </c>
      <c r="D42" s="31" t="s">
        <v>404</v>
      </c>
      <c r="E42" s="316" t="s">
        <v>405</v>
      </c>
      <c r="F42" s="13">
        <v>2784800</v>
      </c>
      <c r="G42" s="13">
        <v>3061521.15</v>
      </c>
      <c r="H42" s="162">
        <f t="shared" si="0"/>
        <v>276721.14999999991</v>
      </c>
      <c r="I42" s="171"/>
    </row>
    <row r="43" spans="1:10" s="16" customFormat="1" ht="20.100000000000001" customHeight="1">
      <c r="A43" s="171"/>
      <c r="B43" s="143">
        <v>35</v>
      </c>
      <c r="C43" s="59" t="s">
        <v>128</v>
      </c>
      <c r="D43" s="31" t="s">
        <v>129</v>
      </c>
      <c r="E43" s="316" t="s">
        <v>130</v>
      </c>
      <c r="F43" s="13">
        <v>14641000</v>
      </c>
      <c r="G43" s="13">
        <v>16328112.82</v>
      </c>
      <c r="H43" s="162">
        <f t="shared" si="0"/>
        <v>1687112.8200000003</v>
      </c>
      <c r="I43" s="171"/>
    </row>
    <row r="44" spans="1:10" s="16" customFormat="1" ht="20.100000000000001" customHeight="1">
      <c r="A44" s="171"/>
      <c r="B44" s="143">
        <v>36</v>
      </c>
      <c r="C44" s="58" t="s">
        <v>406</v>
      </c>
      <c r="D44" s="31" t="s">
        <v>407</v>
      </c>
      <c r="E44" s="316" t="s">
        <v>408</v>
      </c>
      <c r="F44" s="363">
        <v>1824000</v>
      </c>
      <c r="G44" s="363">
        <v>7000000</v>
      </c>
      <c r="H44" s="162">
        <f t="shared" si="0"/>
        <v>5176000</v>
      </c>
      <c r="I44" s="171"/>
      <c r="J44" s="97"/>
    </row>
    <row r="45" spans="1:10" s="16" customFormat="1" ht="20.100000000000001" customHeight="1">
      <c r="A45" s="171"/>
      <c r="B45" s="143">
        <v>37</v>
      </c>
      <c r="C45" s="143" t="s">
        <v>131</v>
      </c>
      <c r="D45" s="143" t="s">
        <v>132</v>
      </c>
      <c r="E45" s="144" t="s">
        <v>133</v>
      </c>
      <c r="F45" s="363">
        <v>3600000</v>
      </c>
      <c r="G45" s="351">
        <v>4401690.17</v>
      </c>
      <c r="H45" s="162">
        <f t="shared" si="0"/>
        <v>801690.16999999993</v>
      </c>
      <c r="I45" s="171"/>
      <c r="J45" s="97"/>
    </row>
    <row r="46" spans="1:10" s="16" customFormat="1" ht="20.100000000000001" customHeight="1">
      <c r="A46" s="171"/>
      <c r="B46" s="143">
        <v>38</v>
      </c>
      <c r="C46" s="143" t="s">
        <v>134</v>
      </c>
      <c r="D46" s="143" t="s">
        <v>135</v>
      </c>
      <c r="E46" s="364" t="s">
        <v>136</v>
      </c>
      <c r="F46" s="363">
        <v>507400000</v>
      </c>
      <c r="G46" s="351">
        <v>550000000</v>
      </c>
      <c r="H46" s="162">
        <f t="shared" si="0"/>
        <v>42600000</v>
      </c>
      <c r="I46" s="171"/>
      <c r="J46" s="97"/>
    </row>
    <row r="47" spans="1:10" s="16" customFormat="1" ht="20.100000000000001" customHeight="1">
      <c r="A47" s="171"/>
      <c r="B47" s="143">
        <v>39</v>
      </c>
      <c r="C47" s="143" t="s">
        <v>409</v>
      </c>
      <c r="D47" s="143" t="s">
        <v>410</v>
      </c>
      <c r="E47" s="144" t="s">
        <v>411</v>
      </c>
      <c r="F47" s="363">
        <v>6000000</v>
      </c>
      <c r="G47" s="351">
        <v>17000000</v>
      </c>
      <c r="H47" s="162">
        <f t="shared" si="0"/>
        <v>11000000</v>
      </c>
      <c r="I47" s="171"/>
      <c r="J47" s="97"/>
    </row>
    <row r="48" spans="1:10" s="16" customFormat="1" ht="20.100000000000001" customHeight="1">
      <c r="A48" s="171"/>
      <c r="B48" s="143">
        <v>40</v>
      </c>
      <c r="C48" s="143">
        <v>12300100100</v>
      </c>
      <c r="D48" s="143" t="s">
        <v>413</v>
      </c>
      <c r="E48" s="144" t="s">
        <v>414</v>
      </c>
      <c r="F48" s="363">
        <v>4400000</v>
      </c>
      <c r="G48" s="351">
        <v>6803380.3399999999</v>
      </c>
      <c r="H48" s="162">
        <f t="shared" si="0"/>
        <v>2403380.34</v>
      </c>
      <c r="I48" s="171"/>
    </row>
    <row r="49" spans="1:9" s="16" customFormat="1" ht="20.100000000000001" customHeight="1">
      <c r="A49" s="171"/>
      <c r="B49" s="143">
        <v>41</v>
      </c>
      <c r="C49" s="143" t="s">
        <v>140</v>
      </c>
      <c r="D49" s="143" t="s">
        <v>141</v>
      </c>
      <c r="E49" s="312" t="s">
        <v>142</v>
      </c>
      <c r="F49" s="363">
        <v>40588842.939999998</v>
      </c>
      <c r="G49" s="351">
        <v>3000000</v>
      </c>
      <c r="H49" s="162">
        <f t="shared" si="0"/>
        <v>-37588842.939999998</v>
      </c>
      <c r="I49" s="171"/>
    </row>
    <row r="50" spans="1:9" s="16" customFormat="1" ht="20.100000000000001" customHeight="1">
      <c r="A50" s="171"/>
      <c r="B50" s="143">
        <v>42</v>
      </c>
      <c r="C50" s="58" t="s">
        <v>415</v>
      </c>
      <c r="D50" s="31" t="s">
        <v>416</v>
      </c>
      <c r="E50" s="316" t="s">
        <v>417</v>
      </c>
      <c r="F50" s="365">
        <v>0</v>
      </c>
      <c r="G50" s="365">
        <v>1500000</v>
      </c>
      <c r="H50" s="162">
        <f t="shared" si="0"/>
        <v>1500000</v>
      </c>
      <c r="I50" s="171"/>
    </row>
    <row r="51" spans="1:9" s="16" customFormat="1" ht="20.100000000000001" customHeight="1">
      <c r="A51" s="171"/>
      <c r="B51" s="143">
        <v>43</v>
      </c>
      <c r="C51" s="58" t="s">
        <v>419</v>
      </c>
      <c r="D51" s="31" t="s">
        <v>420</v>
      </c>
      <c r="E51" s="316" t="s">
        <v>421</v>
      </c>
      <c r="F51" s="366">
        <v>2200000</v>
      </c>
      <c r="G51" s="366">
        <v>4803380.34</v>
      </c>
      <c r="H51" s="162">
        <f t="shared" si="0"/>
        <v>2603380.34</v>
      </c>
      <c r="I51" s="171"/>
    </row>
    <row r="52" spans="1:9" s="16" customFormat="1" ht="20.100000000000001" customHeight="1">
      <c r="A52" s="171"/>
      <c r="B52" s="143">
        <v>44</v>
      </c>
      <c r="C52" s="58" t="s">
        <v>422</v>
      </c>
      <c r="D52" s="31" t="s">
        <v>423</v>
      </c>
      <c r="E52" s="316" t="s">
        <v>424</v>
      </c>
      <c r="F52" s="366">
        <v>10200000</v>
      </c>
      <c r="G52" s="366">
        <v>20000000</v>
      </c>
      <c r="H52" s="162">
        <f t="shared" si="0"/>
        <v>9800000</v>
      </c>
      <c r="I52" s="171"/>
    </row>
    <row r="53" spans="1:9" s="16" customFormat="1" ht="20.100000000000001" customHeight="1">
      <c r="A53" s="171"/>
      <c r="B53" s="143">
        <v>45</v>
      </c>
      <c r="C53" s="58" t="s">
        <v>425</v>
      </c>
      <c r="D53" s="31" t="s">
        <v>426</v>
      </c>
      <c r="E53" s="316" t="s">
        <v>427</v>
      </c>
      <c r="F53" s="366">
        <v>1200000</v>
      </c>
      <c r="G53" s="366">
        <v>1800000</v>
      </c>
      <c r="H53" s="162">
        <f t="shared" si="0"/>
        <v>600000</v>
      </c>
      <c r="I53" s="171"/>
    </row>
    <row r="54" spans="1:9" s="16" customFormat="1" ht="20.100000000000001" customHeight="1">
      <c r="A54" s="171"/>
      <c r="B54" s="143">
        <v>46</v>
      </c>
      <c r="C54" s="58" t="s">
        <v>143</v>
      </c>
      <c r="D54" s="31" t="s">
        <v>144</v>
      </c>
      <c r="E54" s="316" t="s">
        <v>145</v>
      </c>
      <c r="F54" s="366">
        <v>98513200</v>
      </c>
      <c r="G54" s="366">
        <v>150000000</v>
      </c>
      <c r="H54" s="162">
        <f t="shared" si="0"/>
        <v>51486800</v>
      </c>
      <c r="I54" s="171"/>
    </row>
    <row r="55" spans="1:9" s="16" customFormat="1" ht="20.100000000000001" customHeight="1">
      <c r="A55" s="171"/>
      <c r="B55" s="143">
        <v>47</v>
      </c>
      <c r="C55" s="58" t="s">
        <v>428</v>
      </c>
      <c r="D55" s="31" t="s">
        <v>418</v>
      </c>
      <c r="E55" s="316" t="s">
        <v>429</v>
      </c>
      <c r="F55" s="366">
        <v>2000000</v>
      </c>
      <c r="G55" s="366">
        <v>3000000</v>
      </c>
      <c r="H55" s="162">
        <f t="shared" si="0"/>
        <v>1000000</v>
      </c>
      <c r="I55" s="171"/>
    </row>
    <row r="56" spans="1:9" s="16" customFormat="1" ht="20.100000000000001" customHeight="1">
      <c r="A56" s="171"/>
      <c r="B56" s="143">
        <v>48</v>
      </c>
      <c r="C56" s="58" t="s">
        <v>430</v>
      </c>
      <c r="D56" s="31" t="s">
        <v>431</v>
      </c>
      <c r="E56" s="316" t="s">
        <v>432</v>
      </c>
      <c r="F56" s="366">
        <v>840000</v>
      </c>
      <c r="G56" s="366">
        <v>2500000</v>
      </c>
      <c r="H56" s="162">
        <f t="shared" si="0"/>
        <v>1660000</v>
      </c>
      <c r="I56" s="171"/>
    </row>
    <row r="57" spans="1:9" s="16" customFormat="1" ht="20.100000000000001" customHeight="1">
      <c r="A57" s="171"/>
      <c r="B57" s="143">
        <v>49</v>
      </c>
      <c r="C57" s="58" t="s">
        <v>433</v>
      </c>
      <c r="D57" s="31" t="s">
        <v>434</v>
      </c>
      <c r="E57" s="316" t="s">
        <v>435</v>
      </c>
      <c r="F57" s="366">
        <v>1000000</v>
      </c>
      <c r="G57" s="366">
        <v>2500000</v>
      </c>
      <c r="H57" s="162">
        <f t="shared" si="0"/>
        <v>1500000</v>
      </c>
      <c r="I57" s="171"/>
    </row>
    <row r="58" spans="1:9" s="16" customFormat="1" ht="20.100000000000001" customHeight="1">
      <c r="A58" s="171"/>
      <c r="B58" s="143">
        <v>50</v>
      </c>
      <c r="C58" s="58" t="s">
        <v>436</v>
      </c>
      <c r="D58" s="31" t="s">
        <v>437</v>
      </c>
      <c r="E58" s="316" t="s">
        <v>438</v>
      </c>
      <c r="F58" s="366">
        <v>1000000</v>
      </c>
      <c r="G58" s="366">
        <v>3500000</v>
      </c>
      <c r="H58" s="162">
        <f t="shared" si="0"/>
        <v>2500000</v>
      </c>
      <c r="I58" s="171"/>
    </row>
    <row r="59" spans="1:9" s="16" customFormat="1" ht="20.100000000000001" customHeight="1">
      <c r="A59" s="171"/>
      <c r="B59" s="143">
        <v>51</v>
      </c>
      <c r="C59" s="58" t="s">
        <v>439</v>
      </c>
      <c r="D59" s="31" t="s">
        <v>440</v>
      </c>
      <c r="E59" s="316" t="s">
        <v>441</v>
      </c>
      <c r="F59" s="366">
        <v>1000000</v>
      </c>
      <c r="G59" s="366">
        <v>6000000</v>
      </c>
      <c r="H59" s="162">
        <f t="shared" si="0"/>
        <v>5000000</v>
      </c>
      <c r="I59" s="171"/>
    </row>
    <row r="60" spans="1:9" s="16" customFormat="1" ht="20.100000000000001" customHeight="1">
      <c r="A60" s="171"/>
      <c r="B60" s="143">
        <v>52</v>
      </c>
      <c r="C60" s="58" t="s">
        <v>442</v>
      </c>
      <c r="D60" s="31" t="s">
        <v>443</v>
      </c>
      <c r="E60" s="316" t="s">
        <v>444</v>
      </c>
      <c r="F60" s="366">
        <v>550000</v>
      </c>
      <c r="G60" s="366">
        <v>1700000</v>
      </c>
      <c r="H60" s="162">
        <f t="shared" si="0"/>
        <v>1150000</v>
      </c>
      <c r="I60" s="171"/>
    </row>
    <row r="61" spans="1:9" s="16" customFormat="1" ht="20.100000000000001" customHeight="1">
      <c r="A61" s="171"/>
      <c r="B61" s="143">
        <v>53</v>
      </c>
      <c r="C61" s="175" t="s">
        <v>1970</v>
      </c>
      <c r="D61" s="31" t="s">
        <v>1504</v>
      </c>
      <c r="E61" s="316" t="s">
        <v>1505</v>
      </c>
      <c r="F61" s="366">
        <v>3000000</v>
      </c>
      <c r="G61" s="366">
        <v>5000000</v>
      </c>
      <c r="H61" s="162">
        <f t="shared" si="0"/>
        <v>2000000</v>
      </c>
      <c r="I61" s="171"/>
    </row>
    <row r="62" spans="1:9" s="16" customFormat="1" ht="20.100000000000001" customHeight="1">
      <c r="A62" s="171"/>
      <c r="B62" s="143">
        <v>54</v>
      </c>
      <c r="C62" s="58" t="s">
        <v>445</v>
      </c>
      <c r="D62" s="31" t="s">
        <v>446</v>
      </c>
      <c r="E62" s="316" t="s">
        <v>447</v>
      </c>
      <c r="F62" s="366">
        <v>2280000</v>
      </c>
      <c r="G62" s="366">
        <v>3061521.15</v>
      </c>
      <c r="H62" s="162">
        <f t="shared" si="0"/>
        <v>781521.14999999991</v>
      </c>
      <c r="I62" s="171"/>
    </row>
    <row r="63" spans="1:9" s="16" customFormat="1" ht="20.100000000000001" customHeight="1">
      <c r="A63" s="171"/>
      <c r="B63" s="143">
        <v>55</v>
      </c>
      <c r="C63" s="58" t="s">
        <v>146</v>
      </c>
      <c r="D63" s="31" t="s">
        <v>147</v>
      </c>
      <c r="E63" s="316" t="s">
        <v>148</v>
      </c>
      <c r="F63" s="366">
        <v>10950000</v>
      </c>
      <c r="G63" s="366">
        <v>13606760.68</v>
      </c>
      <c r="H63" s="162">
        <f t="shared" si="0"/>
        <v>2656760.6799999997</v>
      </c>
      <c r="I63" s="171"/>
    </row>
    <row r="64" spans="1:9" s="16" customFormat="1" ht="20.100000000000001" customHeight="1">
      <c r="A64" s="171"/>
      <c r="B64" s="143">
        <v>56</v>
      </c>
      <c r="C64" s="175" t="s">
        <v>448</v>
      </c>
      <c r="D64" s="31" t="s">
        <v>1502</v>
      </c>
      <c r="E64" s="316" t="s">
        <v>1503</v>
      </c>
      <c r="F64" s="366">
        <v>3600000</v>
      </c>
      <c r="G64" s="366">
        <v>6000000</v>
      </c>
      <c r="H64" s="162">
        <f t="shared" si="0"/>
        <v>2400000</v>
      </c>
      <c r="I64" s="171"/>
    </row>
    <row r="65" spans="1:9" s="16" customFormat="1" ht="20.100000000000001" customHeight="1">
      <c r="A65" s="171"/>
      <c r="B65" s="143">
        <v>57</v>
      </c>
      <c r="C65" s="58" t="s">
        <v>448</v>
      </c>
      <c r="D65" s="31" t="s">
        <v>149</v>
      </c>
      <c r="E65" s="316" t="s">
        <v>449</v>
      </c>
      <c r="F65" s="366">
        <v>7250000</v>
      </c>
      <c r="G65" s="366">
        <v>8338967.2300000004</v>
      </c>
      <c r="H65" s="162">
        <f t="shared" si="0"/>
        <v>1088967.2300000004</v>
      </c>
      <c r="I65" s="171"/>
    </row>
    <row r="66" spans="1:9" s="16" customFormat="1" ht="20.100000000000001" customHeight="1">
      <c r="A66" s="171"/>
      <c r="B66" s="143">
        <v>58</v>
      </c>
      <c r="C66" s="58" t="s">
        <v>151</v>
      </c>
      <c r="D66" s="31" t="s">
        <v>152</v>
      </c>
      <c r="E66" s="316" t="s">
        <v>153</v>
      </c>
      <c r="F66" s="366">
        <v>16000000</v>
      </c>
      <c r="G66" s="366">
        <v>22088450.850000001</v>
      </c>
      <c r="H66" s="162">
        <f t="shared" si="0"/>
        <v>6088450.8500000015</v>
      </c>
      <c r="I66" s="171"/>
    </row>
    <row r="67" spans="1:9" s="16" customFormat="1" ht="20.100000000000001" customHeight="1">
      <c r="A67" s="171"/>
      <c r="B67" s="143">
        <v>59</v>
      </c>
      <c r="C67" s="58" t="s">
        <v>450</v>
      </c>
      <c r="D67" s="31" t="s">
        <v>451</v>
      </c>
      <c r="E67" s="316" t="s">
        <v>452</v>
      </c>
      <c r="F67" s="366">
        <v>1540000</v>
      </c>
      <c r="G67" s="366">
        <v>2551267.63</v>
      </c>
      <c r="H67" s="162">
        <f t="shared" si="0"/>
        <v>1011267.6299999999</v>
      </c>
      <c r="I67" s="171"/>
    </row>
    <row r="68" spans="1:9" s="16" customFormat="1" ht="20.100000000000001" customHeight="1">
      <c r="A68" s="171"/>
      <c r="B68" s="143">
        <v>60</v>
      </c>
      <c r="C68" s="58" t="s">
        <v>154</v>
      </c>
      <c r="D68" s="31" t="s">
        <v>155</v>
      </c>
      <c r="E68" s="316" t="s">
        <v>156</v>
      </c>
      <c r="F68" s="366">
        <v>0</v>
      </c>
      <c r="G68" s="366">
        <v>0</v>
      </c>
      <c r="H68" s="162">
        <f t="shared" si="0"/>
        <v>0</v>
      </c>
      <c r="I68" s="171"/>
    </row>
    <row r="69" spans="1:9" s="16" customFormat="1" ht="20.100000000000001" customHeight="1">
      <c r="A69" s="171"/>
      <c r="B69" s="143">
        <v>61</v>
      </c>
      <c r="C69" s="176" t="s">
        <v>1971</v>
      </c>
      <c r="D69" s="31" t="s">
        <v>455</v>
      </c>
      <c r="E69" s="316" t="s">
        <v>456</v>
      </c>
      <c r="F69" s="367">
        <v>1300000</v>
      </c>
      <c r="G69" s="367">
        <v>2000000</v>
      </c>
      <c r="H69" s="162">
        <f t="shared" si="0"/>
        <v>700000</v>
      </c>
      <c r="I69" s="171"/>
    </row>
    <row r="70" spans="1:9" s="16" customFormat="1" ht="20.100000000000001" customHeight="1">
      <c r="A70" s="171"/>
      <c r="B70" s="143">
        <v>62</v>
      </c>
      <c r="C70" s="176" t="s">
        <v>1972</v>
      </c>
      <c r="D70" s="31" t="s">
        <v>457</v>
      </c>
      <c r="E70" s="316" t="s">
        <v>458</v>
      </c>
      <c r="F70" s="367">
        <v>2860000</v>
      </c>
      <c r="G70" s="367">
        <v>8000000</v>
      </c>
      <c r="H70" s="162">
        <f t="shared" si="0"/>
        <v>5140000</v>
      </c>
      <c r="I70" s="171"/>
    </row>
    <row r="71" spans="1:9" s="16" customFormat="1" ht="20.100000000000001" customHeight="1">
      <c r="A71" s="171"/>
      <c r="B71" s="143">
        <v>63</v>
      </c>
      <c r="C71" s="279" t="s">
        <v>1973</v>
      </c>
      <c r="D71" s="368" t="s">
        <v>199</v>
      </c>
      <c r="E71" s="144" t="s">
        <v>461</v>
      </c>
      <c r="F71" s="369">
        <v>500000</v>
      </c>
      <c r="G71" s="370">
        <v>2000000</v>
      </c>
      <c r="H71" s="162">
        <f t="shared" si="0"/>
        <v>1500000</v>
      </c>
      <c r="I71" s="171"/>
    </row>
    <row r="72" spans="1:9" s="16" customFormat="1" ht="20.100000000000001" customHeight="1">
      <c r="A72" s="171"/>
      <c r="B72" s="143">
        <v>64</v>
      </c>
      <c r="C72" s="279" t="s">
        <v>1974</v>
      </c>
      <c r="D72" s="368" t="s">
        <v>469</v>
      </c>
      <c r="E72" s="312" t="s">
        <v>470</v>
      </c>
      <c r="F72" s="369">
        <v>3300000</v>
      </c>
      <c r="G72" s="370">
        <v>5500000</v>
      </c>
      <c r="H72" s="162">
        <f t="shared" si="0"/>
        <v>2200000</v>
      </c>
      <c r="I72" s="171"/>
    </row>
    <row r="73" spans="1:9" s="16" customFormat="1" ht="20.100000000000001" customHeight="1">
      <c r="A73" s="171"/>
      <c r="B73" s="143">
        <v>65</v>
      </c>
      <c r="C73" s="368" t="s">
        <v>157</v>
      </c>
      <c r="D73" s="368" t="s">
        <v>158</v>
      </c>
      <c r="E73" s="312" t="s">
        <v>159</v>
      </c>
      <c r="F73" s="369">
        <v>11000000</v>
      </c>
      <c r="G73" s="370">
        <v>14000000</v>
      </c>
      <c r="H73" s="162">
        <f t="shared" si="0"/>
        <v>3000000</v>
      </c>
      <c r="I73" s="171"/>
    </row>
    <row r="74" spans="1:9" s="16" customFormat="1" ht="20.100000000000001" customHeight="1">
      <c r="A74" s="171"/>
      <c r="B74" s="143"/>
      <c r="C74" s="143"/>
      <c r="D74" s="143"/>
      <c r="E74" s="311" t="s">
        <v>160</v>
      </c>
      <c r="F74" s="245">
        <f>SUM(F9:F73)</f>
        <v>2066692164.8600001</v>
      </c>
      <c r="G74" s="266">
        <f>SUM(G9:G73)</f>
        <v>2765574135.7500005</v>
      </c>
      <c r="H74" s="266">
        <f>SUM(H9:H73)</f>
        <v>698881970.88999999</v>
      </c>
      <c r="I74" s="171"/>
    </row>
    <row r="75" spans="1:9" s="16" customFormat="1" ht="20.100000000000001" customHeight="1">
      <c r="A75" s="171"/>
      <c r="B75" s="143"/>
      <c r="C75" s="143"/>
      <c r="D75" s="143"/>
      <c r="E75" s="371" t="s">
        <v>161</v>
      </c>
      <c r="F75" s="22"/>
      <c r="G75" s="264"/>
      <c r="H75" s="143"/>
      <c r="I75" s="171"/>
    </row>
    <row r="76" spans="1:9" s="16" customFormat="1" ht="20.100000000000001" customHeight="1">
      <c r="A76" s="171"/>
      <c r="B76" s="143">
        <v>66</v>
      </c>
      <c r="C76" s="143" t="s">
        <v>162</v>
      </c>
      <c r="D76" s="143" t="s">
        <v>163</v>
      </c>
      <c r="E76" s="144" t="s">
        <v>164</v>
      </c>
      <c r="F76" s="22">
        <v>4362500</v>
      </c>
      <c r="G76" s="264">
        <v>8000000</v>
      </c>
      <c r="H76" s="275">
        <f>G76-F76</f>
        <v>3637500</v>
      </c>
      <c r="I76" s="171"/>
    </row>
    <row r="77" spans="1:9" s="16" customFormat="1" ht="20.100000000000001" customHeight="1">
      <c r="A77" s="171"/>
      <c r="B77" s="143">
        <v>67</v>
      </c>
      <c r="C77" s="143" t="s">
        <v>471</v>
      </c>
      <c r="D77" s="143" t="s">
        <v>472</v>
      </c>
      <c r="E77" s="144" t="s">
        <v>473</v>
      </c>
      <c r="F77" s="22">
        <v>1772000</v>
      </c>
      <c r="G77" s="264">
        <v>3968638.53</v>
      </c>
      <c r="H77" s="275">
        <f t="shared" ref="H77:H140" si="1">G77-F77</f>
        <v>2196638.5299999998</v>
      </c>
      <c r="I77" s="171"/>
    </row>
    <row r="78" spans="1:9" s="16" customFormat="1" ht="20.100000000000001" customHeight="1">
      <c r="A78" s="171"/>
      <c r="B78" s="143">
        <v>68</v>
      </c>
      <c r="C78" s="143" t="s">
        <v>474</v>
      </c>
      <c r="D78" s="143" t="s">
        <v>475</v>
      </c>
      <c r="E78" s="144" t="s">
        <v>476</v>
      </c>
      <c r="F78" s="22">
        <v>600000</v>
      </c>
      <c r="G78" s="264">
        <v>2834741.81</v>
      </c>
      <c r="H78" s="275">
        <f t="shared" si="1"/>
        <v>2234741.81</v>
      </c>
      <c r="I78" s="171"/>
    </row>
    <row r="79" spans="1:9" s="16" customFormat="1" ht="20.100000000000001" customHeight="1">
      <c r="A79" s="171"/>
      <c r="B79" s="143">
        <v>69</v>
      </c>
      <c r="C79" s="143" t="s">
        <v>165</v>
      </c>
      <c r="D79" s="143" t="s">
        <v>166</v>
      </c>
      <c r="E79" s="144" t="s">
        <v>167</v>
      </c>
      <c r="F79" s="22">
        <v>600000</v>
      </c>
      <c r="G79" s="264">
        <v>1524608.46</v>
      </c>
      <c r="H79" s="275">
        <f t="shared" si="1"/>
        <v>924608.46</v>
      </c>
      <c r="I79" s="171"/>
    </row>
    <row r="80" spans="1:9" s="16" customFormat="1" ht="20.100000000000001" customHeight="1">
      <c r="A80" s="171"/>
      <c r="B80" s="143">
        <v>70</v>
      </c>
      <c r="C80" s="143" t="s">
        <v>168</v>
      </c>
      <c r="D80" s="143" t="s">
        <v>169</v>
      </c>
      <c r="E80" s="144" t="s">
        <v>170</v>
      </c>
      <c r="F80" s="22">
        <v>5635000</v>
      </c>
      <c r="G80" s="264">
        <v>7000000</v>
      </c>
      <c r="H80" s="275">
        <f t="shared" si="1"/>
        <v>1365000</v>
      </c>
      <c r="I80" s="171"/>
    </row>
    <row r="81" spans="1:9" s="16" customFormat="1" ht="20.100000000000001" customHeight="1">
      <c r="A81" s="171"/>
      <c r="B81" s="143">
        <v>71</v>
      </c>
      <c r="C81" s="143" t="s">
        <v>477</v>
      </c>
      <c r="D81" s="143" t="s">
        <v>478</v>
      </c>
      <c r="E81" s="144" t="s">
        <v>479</v>
      </c>
      <c r="F81" s="22">
        <v>450000</v>
      </c>
      <c r="G81" s="264">
        <v>2000000</v>
      </c>
      <c r="H81" s="275">
        <f t="shared" si="1"/>
        <v>1550000</v>
      </c>
      <c r="I81" s="171"/>
    </row>
    <row r="82" spans="1:9" s="16" customFormat="1" ht="20.100000000000001" customHeight="1">
      <c r="A82" s="171"/>
      <c r="B82" s="143">
        <v>72</v>
      </c>
      <c r="C82" s="143" t="s">
        <v>480</v>
      </c>
      <c r="D82" s="143" t="s">
        <v>481</v>
      </c>
      <c r="E82" s="144" t="s">
        <v>482</v>
      </c>
      <c r="F82" s="22">
        <v>550000</v>
      </c>
      <c r="G82" s="264">
        <v>5653802.8799999999</v>
      </c>
      <c r="H82" s="275">
        <f t="shared" si="1"/>
        <v>5103802.88</v>
      </c>
      <c r="I82" s="171"/>
    </row>
    <row r="83" spans="1:9" s="16" customFormat="1" ht="20.100000000000001" customHeight="1">
      <c r="A83" s="171"/>
      <c r="B83" s="143">
        <v>73</v>
      </c>
      <c r="C83" s="143" t="s">
        <v>483</v>
      </c>
      <c r="D83" s="143" t="s">
        <v>484</v>
      </c>
      <c r="E83" s="144" t="s">
        <v>485</v>
      </c>
      <c r="F83" s="22">
        <v>320000</v>
      </c>
      <c r="G83" s="264">
        <v>2000000</v>
      </c>
      <c r="H83" s="275">
        <f t="shared" si="1"/>
        <v>1680000</v>
      </c>
      <c r="I83" s="171"/>
    </row>
    <row r="84" spans="1:9" s="16" customFormat="1" ht="20.100000000000001" customHeight="1">
      <c r="A84" s="171"/>
      <c r="B84" s="143">
        <v>74</v>
      </c>
      <c r="C84" s="143" t="s">
        <v>171</v>
      </c>
      <c r="D84" s="143" t="s">
        <v>172</v>
      </c>
      <c r="E84" s="144" t="s">
        <v>173</v>
      </c>
      <c r="F84" s="22">
        <v>1320000</v>
      </c>
      <c r="G84" s="264">
        <v>4800000</v>
      </c>
      <c r="H84" s="275">
        <f t="shared" si="1"/>
        <v>3480000</v>
      </c>
      <c r="I84" s="171"/>
    </row>
    <row r="85" spans="1:9" s="16" customFormat="1" ht="20.100000000000001" customHeight="1">
      <c r="A85" s="171"/>
      <c r="B85" s="143">
        <v>75</v>
      </c>
      <c r="C85" s="143" t="s">
        <v>174</v>
      </c>
      <c r="D85" s="143" t="s">
        <v>175</v>
      </c>
      <c r="E85" s="144" t="s">
        <v>176</v>
      </c>
      <c r="F85" s="22">
        <f>58233500-3160000</f>
        <v>55073500</v>
      </c>
      <c r="G85" s="264">
        <v>60000000</v>
      </c>
      <c r="H85" s="275">
        <f t="shared" si="1"/>
        <v>4926500</v>
      </c>
      <c r="I85" s="171"/>
    </row>
    <row r="86" spans="1:9" s="16" customFormat="1" ht="20.100000000000001" customHeight="1">
      <c r="A86" s="171"/>
      <c r="B86" s="143">
        <v>76</v>
      </c>
      <c r="C86" s="143" t="s">
        <v>486</v>
      </c>
      <c r="D86" s="143" t="s">
        <v>487</v>
      </c>
      <c r="E86" s="144" t="s">
        <v>488</v>
      </c>
      <c r="F86" s="22">
        <v>2760000</v>
      </c>
      <c r="G86" s="264">
        <v>3401690.17</v>
      </c>
      <c r="H86" s="275">
        <f t="shared" si="1"/>
        <v>641690.16999999993</v>
      </c>
      <c r="I86" s="171"/>
    </row>
    <row r="87" spans="1:9" s="16" customFormat="1" ht="20.100000000000001" customHeight="1">
      <c r="A87" s="171"/>
      <c r="B87" s="143">
        <v>77</v>
      </c>
      <c r="C87" s="143" t="s">
        <v>489</v>
      </c>
      <c r="D87" s="143" t="s">
        <v>490</v>
      </c>
      <c r="E87" s="144" t="s">
        <v>491</v>
      </c>
      <c r="F87" s="22">
        <v>2970000</v>
      </c>
      <c r="G87" s="264">
        <v>6500000</v>
      </c>
      <c r="H87" s="275">
        <f t="shared" si="1"/>
        <v>3530000</v>
      </c>
      <c r="I87" s="171"/>
    </row>
    <row r="88" spans="1:9" s="16" customFormat="1" ht="20.100000000000001" customHeight="1">
      <c r="A88" s="171"/>
      <c r="B88" s="143">
        <v>78</v>
      </c>
      <c r="C88" s="143" t="s">
        <v>492</v>
      </c>
      <c r="D88" s="143" t="s">
        <v>493</v>
      </c>
      <c r="E88" s="144" t="s">
        <v>494</v>
      </c>
      <c r="F88" s="22">
        <v>4200000</v>
      </c>
      <c r="G88" s="264">
        <v>5669483.6200000001</v>
      </c>
      <c r="H88" s="275">
        <f t="shared" si="1"/>
        <v>1469483.62</v>
      </c>
      <c r="I88" s="171"/>
    </row>
    <row r="89" spans="1:9" s="16" customFormat="1" ht="20.100000000000001" customHeight="1">
      <c r="A89" s="171"/>
      <c r="B89" s="143">
        <v>79</v>
      </c>
      <c r="C89" s="143" t="s">
        <v>495</v>
      </c>
      <c r="D89" s="143" t="s">
        <v>496</v>
      </c>
      <c r="E89" s="144" t="s">
        <v>497</v>
      </c>
      <c r="F89" s="22">
        <v>3000000</v>
      </c>
      <c r="G89" s="264">
        <v>5669483.6200000001</v>
      </c>
      <c r="H89" s="275">
        <f t="shared" si="1"/>
        <v>2669483.62</v>
      </c>
      <c r="I89" s="171"/>
    </row>
    <row r="90" spans="1:9" s="16" customFormat="1" ht="20.100000000000001" customHeight="1">
      <c r="A90" s="171"/>
      <c r="B90" s="143">
        <v>80</v>
      </c>
      <c r="C90" s="274" t="s">
        <v>1975</v>
      </c>
      <c r="D90" s="143" t="s">
        <v>466</v>
      </c>
      <c r="E90" s="144" t="s">
        <v>467</v>
      </c>
      <c r="F90" s="22">
        <v>3000000</v>
      </c>
      <c r="G90" s="264">
        <v>5000000</v>
      </c>
      <c r="H90" s="275">
        <f t="shared" si="1"/>
        <v>2000000</v>
      </c>
      <c r="I90" s="171"/>
    </row>
    <row r="91" spans="1:9" s="16" customFormat="1" ht="20.100000000000001" customHeight="1">
      <c r="A91" s="171"/>
      <c r="B91" s="143">
        <v>81</v>
      </c>
      <c r="C91" s="143" t="s">
        <v>498</v>
      </c>
      <c r="D91" s="143" t="s">
        <v>499</v>
      </c>
      <c r="E91" s="144" t="s">
        <v>500</v>
      </c>
      <c r="F91" s="22">
        <v>8120000</v>
      </c>
      <c r="G91" s="264">
        <v>10000000</v>
      </c>
      <c r="H91" s="275">
        <f t="shared" si="1"/>
        <v>1880000</v>
      </c>
      <c r="I91" s="171"/>
    </row>
    <row r="92" spans="1:9" s="16" customFormat="1" ht="20.100000000000001" customHeight="1">
      <c r="A92" s="171"/>
      <c r="B92" s="143">
        <v>82</v>
      </c>
      <c r="C92" s="143" t="s">
        <v>501</v>
      </c>
      <c r="D92" s="143" t="s">
        <v>502</v>
      </c>
      <c r="E92" s="144" t="s">
        <v>503</v>
      </c>
      <c r="F92" s="22">
        <v>42028000</v>
      </c>
      <c r="G92" s="264">
        <v>48016901.700000003</v>
      </c>
      <c r="H92" s="275">
        <f t="shared" si="1"/>
        <v>5988901.700000003</v>
      </c>
      <c r="I92" s="171"/>
    </row>
    <row r="93" spans="1:9" s="16" customFormat="1" ht="20.100000000000001" customHeight="1">
      <c r="A93" s="171"/>
      <c r="B93" s="143">
        <v>83</v>
      </c>
      <c r="C93" s="143" t="s">
        <v>504</v>
      </c>
      <c r="D93" s="143" t="s">
        <v>505</v>
      </c>
      <c r="E93" s="144" t="s">
        <v>1501</v>
      </c>
      <c r="F93" s="22">
        <v>3000000</v>
      </c>
      <c r="G93" s="264">
        <v>5000000</v>
      </c>
      <c r="H93" s="275">
        <f t="shared" si="1"/>
        <v>2000000</v>
      </c>
      <c r="I93" s="171"/>
    </row>
    <row r="94" spans="1:9" s="16" customFormat="1" ht="20.100000000000001" customHeight="1">
      <c r="A94" s="171"/>
      <c r="B94" s="143">
        <v>84</v>
      </c>
      <c r="C94" s="274" t="s">
        <v>1976</v>
      </c>
      <c r="D94" s="143" t="s">
        <v>1499</v>
      </c>
      <c r="E94" s="144" t="s">
        <v>1500</v>
      </c>
      <c r="F94" s="22">
        <v>2900000</v>
      </c>
      <c r="G94" s="264">
        <v>3000000</v>
      </c>
      <c r="H94" s="275">
        <f t="shared" si="1"/>
        <v>100000</v>
      </c>
      <c r="I94" s="171"/>
    </row>
    <row r="95" spans="1:9" s="16" customFormat="1" ht="20.100000000000001" customHeight="1">
      <c r="A95" s="171"/>
      <c r="B95" s="143">
        <v>85</v>
      </c>
      <c r="C95" s="143" t="s">
        <v>507</v>
      </c>
      <c r="D95" s="143" t="s">
        <v>508</v>
      </c>
      <c r="E95" s="144" t="s">
        <v>509</v>
      </c>
      <c r="F95" s="22">
        <v>2015000</v>
      </c>
      <c r="G95" s="264">
        <v>5000000</v>
      </c>
      <c r="H95" s="275">
        <f t="shared" si="1"/>
        <v>2985000</v>
      </c>
      <c r="I95" s="171"/>
    </row>
    <row r="96" spans="1:9" s="16" customFormat="1" ht="20.100000000000001" customHeight="1">
      <c r="A96" s="171"/>
      <c r="B96" s="143">
        <v>86</v>
      </c>
      <c r="C96" s="143" t="s">
        <v>510</v>
      </c>
      <c r="D96" s="143" t="s">
        <v>511</v>
      </c>
      <c r="E96" s="144" t="s">
        <v>512</v>
      </c>
      <c r="F96" s="22">
        <v>720000</v>
      </c>
      <c r="G96" s="264">
        <v>2834741.81</v>
      </c>
      <c r="H96" s="275">
        <f t="shared" si="1"/>
        <v>2114741.81</v>
      </c>
      <c r="I96" s="171"/>
    </row>
    <row r="97" spans="1:9" s="16" customFormat="1" ht="20.100000000000001" customHeight="1">
      <c r="A97" s="171"/>
      <c r="B97" s="143">
        <v>87</v>
      </c>
      <c r="C97" s="143" t="s">
        <v>513</v>
      </c>
      <c r="D97" s="143" t="s">
        <v>514</v>
      </c>
      <c r="E97" s="144" t="s">
        <v>515</v>
      </c>
      <c r="F97" s="22">
        <v>1440000</v>
      </c>
      <c r="G97" s="264">
        <v>5000000</v>
      </c>
      <c r="H97" s="275">
        <f t="shared" si="1"/>
        <v>3560000</v>
      </c>
      <c r="I97" s="171"/>
    </row>
    <row r="98" spans="1:9" s="16" customFormat="1" ht="20.100000000000001" customHeight="1">
      <c r="A98" s="171"/>
      <c r="B98" s="143">
        <v>88</v>
      </c>
      <c r="C98" s="143" t="s">
        <v>516</v>
      </c>
      <c r="D98" s="143" t="s">
        <v>517</v>
      </c>
      <c r="E98" s="144" t="s">
        <v>1486</v>
      </c>
      <c r="F98" s="22">
        <v>2550000</v>
      </c>
      <c r="G98" s="264">
        <v>5000000</v>
      </c>
      <c r="H98" s="275">
        <f t="shared" si="1"/>
        <v>2450000</v>
      </c>
      <c r="I98" s="171"/>
    </row>
    <row r="99" spans="1:9" s="16" customFormat="1" ht="20.100000000000001" customHeight="1">
      <c r="A99" s="171"/>
      <c r="B99" s="143">
        <v>89</v>
      </c>
      <c r="C99" s="274" t="s">
        <v>1977</v>
      </c>
      <c r="D99" s="143" t="s">
        <v>1517</v>
      </c>
      <c r="E99" s="144" t="s">
        <v>468</v>
      </c>
      <c r="F99" s="22">
        <v>2400000</v>
      </c>
      <c r="G99" s="264">
        <v>5000000</v>
      </c>
      <c r="H99" s="275">
        <f t="shared" si="1"/>
        <v>2600000</v>
      </c>
      <c r="I99" s="171"/>
    </row>
    <row r="100" spans="1:9" s="16" customFormat="1" ht="20.100000000000001" customHeight="1">
      <c r="A100" s="171"/>
      <c r="B100" s="143">
        <v>90</v>
      </c>
      <c r="C100" s="143" t="s">
        <v>177</v>
      </c>
      <c r="D100" s="143" t="s">
        <v>178</v>
      </c>
      <c r="E100" s="144" t="s">
        <v>519</v>
      </c>
      <c r="F100" s="22">
        <v>74981579.63000001</v>
      </c>
      <c r="G100" s="264">
        <v>150000000</v>
      </c>
      <c r="H100" s="275">
        <f t="shared" si="1"/>
        <v>75018420.36999999</v>
      </c>
      <c r="I100" s="171"/>
    </row>
    <row r="101" spans="1:9" s="16" customFormat="1" ht="20.100000000000001" customHeight="1">
      <c r="A101" s="171"/>
      <c r="B101" s="143">
        <v>91</v>
      </c>
      <c r="C101" s="143" t="s">
        <v>180</v>
      </c>
      <c r="D101" s="143" t="s">
        <v>181</v>
      </c>
      <c r="E101" s="144" t="s">
        <v>182</v>
      </c>
      <c r="F101" s="22">
        <v>3080000</v>
      </c>
      <c r="G101" s="264">
        <v>6123042.3099999996</v>
      </c>
      <c r="H101" s="275">
        <f t="shared" si="1"/>
        <v>3043042.3099999996</v>
      </c>
      <c r="I101" s="171"/>
    </row>
    <row r="102" spans="1:9" s="16" customFormat="1" ht="20.100000000000001" customHeight="1">
      <c r="A102" s="171"/>
      <c r="B102" s="143">
        <v>92</v>
      </c>
      <c r="C102" s="143" t="s">
        <v>186</v>
      </c>
      <c r="D102" s="143" t="s">
        <v>187</v>
      </c>
      <c r="E102" s="144" t="s">
        <v>188</v>
      </c>
      <c r="F102" s="22">
        <v>4500000</v>
      </c>
      <c r="G102" s="264">
        <v>7071173.79</v>
      </c>
      <c r="H102" s="275">
        <f t="shared" si="1"/>
        <v>2571173.79</v>
      </c>
      <c r="I102" s="171"/>
    </row>
    <row r="103" spans="1:9" s="16" customFormat="1" ht="20.100000000000001" customHeight="1">
      <c r="A103" s="171"/>
      <c r="B103" s="143">
        <v>93</v>
      </c>
      <c r="C103" s="143" t="s">
        <v>520</v>
      </c>
      <c r="D103" s="143" t="s">
        <v>521</v>
      </c>
      <c r="E103" s="144" t="s">
        <v>522</v>
      </c>
      <c r="F103" s="22">
        <v>440000</v>
      </c>
      <c r="G103" s="264">
        <v>4500000</v>
      </c>
      <c r="H103" s="275">
        <f t="shared" si="1"/>
        <v>4060000</v>
      </c>
      <c r="I103" s="171"/>
    </row>
    <row r="104" spans="1:9" s="16" customFormat="1" ht="20.100000000000001" customHeight="1">
      <c r="A104" s="171"/>
      <c r="B104" s="143">
        <v>94</v>
      </c>
      <c r="C104" s="143" t="s">
        <v>523</v>
      </c>
      <c r="D104" s="143" t="s">
        <v>524</v>
      </c>
      <c r="E104" s="144" t="s">
        <v>525</v>
      </c>
      <c r="F104" s="22">
        <v>2040000</v>
      </c>
      <c r="G104" s="264">
        <v>3571774.68</v>
      </c>
      <c r="H104" s="275">
        <f t="shared" si="1"/>
        <v>1531774.6800000002</v>
      </c>
      <c r="I104" s="171"/>
    </row>
    <row r="105" spans="1:9" s="16" customFormat="1" ht="20.100000000000001" customHeight="1">
      <c r="A105" s="171"/>
      <c r="B105" s="143">
        <v>95</v>
      </c>
      <c r="C105" s="143" t="s">
        <v>526</v>
      </c>
      <c r="D105" s="143" t="s">
        <v>527</v>
      </c>
      <c r="E105" s="144" t="s">
        <v>528</v>
      </c>
      <c r="F105" s="22">
        <v>1540000</v>
      </c>
      <c r="G105" s="264">
        <v>3834741.81</v>
      </c>
      <c r="H105" s="275">
        <f t="shared" si="1"/>
        <v>2294741.81</v>
      </c>
      <c r="I105" s="171"/>
    </row>
    <row r="106" spans="1:9" s="16" customFormat="1" ht="20.100000000000001" customHeight="1">
      <c r="A106" s="171"/>
      <c r="B106" s="143">
        <v>96</v>
      </c>
      <c r="C106" s="143" t="s">
        <v>189</v>
      </c>
      <c r="D106" s="143" t="s">
        <v>190</v>
      </c>
      <c r="E106" s="144" t="s">
        <v>191</v>
      </c>
      <c r="F106" s="22">
        <v>1100000</v>
      </c>
      <c r="G106" s="264">
        <v>3000000</v>
      </c>
      <c r="H106" s="275">
        <f t="shared" si="1"/>
        <v>1900000</v>
      </c>
      <c r="I106" s="171"/>
    </row>
    <row r="107" spans="1:9" s="16" customFormat="1" ht="20.100000000000001" customHeight="1">
      <c r="A107" s="171"/>
      <c r="B107" s="143">
        <v>97</v>
      </c>
      <c r="C107" s="143" t="s">
        <v>529</v>
      </c>
      <c r="D107" s="143" t="s">
        <v>530</v>
      </c>
      <c r="E107" s="144" t="s">
        <v>531</v>
      </c>
      <c r="F107" s="22">
        <v>275000</v>
      </c>
      <c r="G107" s="264">
        <v>2000000</v>
      </c>
      <c r="H107" s="275">
        <f t="shared" si="1"/>
        <v>1725000</v>
      </c>
      <c r="I107" s="171"/>
    </row>
    <row r="108" spans="1:9" s="16" customFormat="1" ht="20.100000000000001" customHeight="1">
      <c r="A108" s="171"/>
      <c r="B108" s="143">
        <v>98</v>
      </c>
      <c r="C108" s="143" t="s">
        <v>532</v>
      </c>
      <c r="D108" s="143" t="s">
        <v>533</v>
      </c>
      <c r="E108" s="144" t="s">
        <v>534</v>
      </c>
      <c r="F108" s="22">
        <v>1200000</v>
      </c>
      <c r="G108" s="264">
        <v>3968638.53</v>
      </c>
      <c r="H108" s="275">
        <f t="shared" si="1"/>
        <v>2768638.53</v>
      </c>
      <c r="I108" s="171"/>
    </row>
    <row r="109" spans="1:9" s="16" customFormat="1" ht="20.100000000000001" customHeight="1">
      <c r="A109" s="171"/>
      <c r="B109" s="143">
        <v>99</v>
      </c>
      <c r="C109" s="143" t="s">
        <v>192</v>
      </c>
      <c r="D109" s="143" t="s">
        <v>193</v>
      </c>
      <c r="E109" s="144" t="s">
        <v>194</v>
      </c>
      <c r="F109" s="22">
        <v>1320000</v>
      </c>
      <c r="G109" s="264">
        <v>3834741.81</v>
      </c>
      <c r="H109" s="275">
        <f t="shared" si="1"/>
        <v>2514741.81</v>
      </c>
      <c r="I109" s="171"/>
    </row>
    <row r="110" spans="1:9" s="16" customFormat="1" ht="20.100000000000001" customHeight="1">
      <c r="A110" s="171"/>
      <c r="B110" s="143">
        <v>100</v>
      </c>
      <c r="C110" s="143" t="s">
        <v>535</v>
      </c>
      <c r="D110" s="143" t="s">
        <v>536</v>
      </c>
      <c r="E110" s="144" t="s">
        <v>537</v>
      </c>
      <c r="F110" s="22">
        <v>600000</v>
      </c>
      <c r="G110" s="264">
        <v>2500000</v>
      </c>
      <c r="H110" s="275">
        <f t="shared" si="1"/>
        <v>1900000</v>
      </c>
      <c r="I110" s="171"/>
    </row>
    <row r="111" spans="1:9" s="16" customFormat="1" ht="20.100000000000001" customHeight="1">
      <c r="A111" s="171"/>
      <c r="B111" s="143">
        <v>101</v>
      </c>
      <c r="C111" s="143" t="s">
        <v>538</v>
      </c>
      <c r="D111" s="143" t="s">
        <v>539</v>
      </c>
      <c r="E111" s="144" t="s">
        <v>540</v>
      </c>
      <c r="F111" s="22">
        <v>1861200</v>
      </c>
      <c r="G111" s="264">
        <v>4000000</v>
      </c>
      <c r="H111" s="275">
        <f t="shared" si="1"/>
        <v>2138800</v>
      </c>
      <c r="I111" s="171"/>
    </row>
    <row r="112" spans="1:9" s="16" customFormat="1" ht="20.100000000000001" customHeight="1">
      <c r="A112" s="171"/>
      <c r="B112" s="143">
        <v>102</v>
      </c>
      <c r="C112" s="143" t="s">
        <v>542</v>
      </c>
      <c r="D112" s="143" t="s">
        <v>543</v>
      </c>
      <c r="E112" s="144" t="s">
        <v>544</v>
      </c>
      <c r="F112" s="22">
        <v>572000</v>
      </c>
      <c r="G112" s="264">
        <v>1466182.38</v>
      </c>
      <c r="H112" s="275">
        <f t="shared" si="1"/>
        <v>894182.37999999989</v>
      </c>
      <c r="I112" s="171"/>
    </row>
    <row r="113" spans="1:9" s="16" customFormat="1" ht="20.100000000000001" customHeight="1">
      <c r="A113" s="171"/>
      <c r="B113" s="143">
        <v>103</v>
      </c>
      <c r="C113" s="143" t="s">
        <v>545</v>
      </c>
      <c r="D113" s="143" t="s">
        <v>546</v>
      </c>
      <c r="E113" s="144" t="s">
        <v>547</v>
      </c>
      <c r="F113" s="22">
        <v>2200000</v>
      </c>
      <c r="G113" s="264">
        <v>3061521.15</v>
      </c>
      <c r="H113" s="275">
        <f t="shared" si="1"/>
        <v>861521.14999999991</v>
      </c>
      <c r="I113" s="171"/>
    </row>
    <row r="114" spans="1:9" s="16" customFormat="1" ht="20.100000000000001" customHeight="1">
      <c r="A114" s="171"/>
      <c r="B114" s="143">
        <v>104</v>
      </c>
      <c r="C114" s="143" t="s">
        <v>195</v>
      </c>
      <c r="D114" s="143" t="s">
        <v>196</v>
      </c>
      <c r="E114" s="144" t="s">
        <v>197</v>
      </c>
      <c r="F114" s="22">
        <v>34853068</v>
      </c>
      <c r="G114" s="264">
        <v>40000000</v>
      </c>
      <c r="H114" s="275">
        <f t="shared" si="1"/>
        <v>5146932</v>
      </c>
      <c r="I114" s="171"/>
    </row>
    <row r="115" spans="1:9" s="16" customFormat="1" ht="20.100000000000001" customHeight="1">
      <c r="A115" s="171"/>
      <c r="B115" s="143">
        <v>105</v>
      </c>
      <c r="C115" s="143" t="s">
        <v>198</v>
      </c>
      <c r="D115" s="143" t="s">
        <v>548</v>
      </c>
      <c r="E115" s="144" t="s">
        <v>200</v>
      </c>
      <c r="F115" s="22">
        <v>1000000</v>
      </c>
      <c r="G115" s="264">
        <v>3000000</v>
      </c>
      <c r="H115" s="275">
        <f t="shared" si="1"/>
        <v>2000000</v>
      </c>
      <c r="I115" s="171"/>
    </row>
    <row r="116" spans="1:9" s="16" customFormat="1" ht="20.100000000000001" customHeight="1">
      <c r="A116" s="171"/>
      <c r="B116" s="143">
        <v>106</v>
      </c>
      <c r="C116" s="143" t="s">
        <v>201</v>
      </c>
      <c r="D116" s="143" t="s">
        <v>549</v>
      </c>
      <c r="E116" s="144" t="s">
        <v>202</v>
      </c>
      <c r="F116" s="22">
        <v>1000000</v>
      </c>
      <c r="G116" s="264">
        <v>3000000</v>
      </c>
      <c r="H116" s="275">
        <f t="shared" si="1"/>
        <v>2000000</v>
      </c>
      <c r="I116" s="171"/>
    </row>
    <row r="117" spans="1:9" s="16" customFormat="1" ht="20.100000000000001" customHeight="1">
      <c r="A117" s="171"/>
      <c r="B117" s="143">
        <v>107</v>
      </c>
      <c r="C117" s="143" t="s">
        <v>203</v>
      </c>
      <c r="D117" s="143" t="s">
        <v>204</v>
      </c>
      <c r="E117" s="144" t="s">
        <v>205</v>
      </c>
      <c r="F117" s="22">
        <f>2764000+500000</f>
        <v>3264000</v>
      </c>
      <c r="G117" s="264">
        <v>9071173.7899999991</v>
      </c>
      <c r="H117" s="275">
        <f t="shared" si="1"/>
        <v>5807173.7899999991</v>
      </c>
      <c r="I117" s="171"/>
    </row>
    <row r="118" spans="1:9" s="16" customFormat="1" ht="20.100000000000001" customHeight="1">
      <c r="A118" s="171"/>
      <c r="B118" s="143">
        <v>108</v>
      </c>
      <c r="C118" s="143" t="s">
        <v>206</v>
      </c>
      <c r="D118" s="143" t="s">
        <v>207</v>
      </c>
      <c r="E118" s="144" t="s">
        <v>208</v>
      </c>
      <c r="F118" s="22">
        <v>600000</v>
      </c>
      <c r="G118" s="264">
        <v>3000000</v>
      </c>
      <c r="H118" s="275">
        <f t="shared" si="1"/>
        <v>2400000</v>
      </c>
      <c r="I118" s="171"/>
    </row>
    <row r="119" spans="1:9" s="16" customFormat="1" ht="20.100000000000001" customHeight="1">
      <c r="A119" s="171"/>
      <c r="B119" s="143">
        <v>109</v>
      </c>
      <c r="C119" s="143" t="s">
        <v>209</v>
      </c>
      <c r="D119" s="143" t="s">
        <v>210</v>
      </c>
      <c r="E119" s="144" t="s">
        <v>1485</v>
      </c>
      <c r="F119" s="22">
        <v>3080000</v>
      </c>
      <c r="G119" s="264">
        <v>5102535.26</v>
      </c>
      <c r="H119" s="275">
        <f t="shared" si="1"/>
        <v>2022535.2599999998</v>
      </c>
      <c r="I119" s="171"/>
    </row>
    <row r="120" spans="1:9" s="16" customFormat="1" ht="20.100000000000001" customHeight="1">
      <c r="A120" s="171"/>
      <c r="B120" s="143">
        <v>110</v>
      </c>
      <c r="C120" s="143" t="s">
        <v>550</v>
      </c>
      <c r="D120" s="143" t="s">
        <v>551</v>
      </c>
      <c r="E120" s="144" t="s">
        <v>825</v>
      </c>
      <c r="F120" s="22">
        <v>1500000</v>
      </c>
      <c r="G120" s="264">
        <v>3551267.63</v>
      </c>
      <c r="H120" s="275">
        <f t="shared" si="1"/>
        <v>2051267.63</v>
      </c>
      <c r="I120" s="171"/>
    </row>
    <row r="121" spans="1:9" s="16" customFormat="1" ht="20.100000000000001" customHeight="1">
      <c r="A121" s="171"/>
      <c r="B121" s="143">
        <v>111</v>
      </c>
      <c r="C121" s="143" t="s">
        <v>552</v>
      </c>
      <c r="D121" s="143" t="s">
        <v>553</v>
      </c>
      <c r="E121" s="144" t="s">
        <v>554</v>
      </c>
      <c r="F121" s="22">
        <v>1400000</v>
      </c>
      <c r="G121" s="264">
        <v>3675709.49</v>
      </c>
      <c r="H121" s="275">
        <f t="shared" si="1"/>
        <v>2275709.4900000002</v>
      </c>
      <c r="I121" s="171"/>
    </row>
    <row r="122" spans="1:9" s="16" customFormat="1" ht="20.100000000000001" customHeight="1">
      <c r="A122" s="171"/>
      <c r="B122" s="143">
        <v>112</v>
      </c>
      <c r="C122" s="143" t="s">
        <v>212</v>
      </c>
      <c r="D122" s="143" t="s">
        <v>213</v>
      </c>
      <c r="E122" s="144" t="s">
        <v>214</v>
      </c>
      <c r="F122" s="22">
        <v>1400000</v>
      </c>
      <c r="G122" s="264">
        <v>3551267.63</v>
      </c>
      <c r="H122" s="275">
        <f t="shared" si="1"/>
        <v>2151267.63</v>
      </c>
      <c r="I122" s="171"/>
    </row>
    <row r="123" spans="1:9" s="16" customFormat="1" ht="20.100000000000001" customHeight="1">
      <c r="A123" s="171"/>
      <c r="B123" s="143">
        <v>113</v>
      </c>
      <c r="C123" s="143" t="s">
        <v>215</v>
      </c>
      <c r="D123" s="143" t="s">
        <v>216</v>
      </c>
      <c r="E123" s="144" t="s">
        <v>1488</v>
      </c>
      <c r="F123" s="22">
        <v>5280000</v>
      </c>
      <c r="G123" s="264">
        <v>10205070.51</v>
      </c>
      <c r="H123" s="275">
        <f t="shared" si="1"/>
        <v>4925070.51</v>
      </c>
      <c r="I123" s="171"/>
    </row>
    <row r="124" spans="1:9" s="16" customFormat="1" ht="20.100000000000001" customHeight="1">
      <c r="A124" s="171"/>
      <c r="B124" s="143">
        <v>114</v>
      </c>
      <c r="C124" s="143" t="s">
        <v>555</v>
      </c>
      <c r="D124" s="143" t="s">
        <v>556</v>
      </c>
      <c r="E124" s="144" t="s">
        <v>557</v>
      </c>
      <c r="F124" s="22">
        <v>2736250</v>
      </c>
      <c r="G124" s="264">
        <v>5000000</v>
      </c>
      <c r="H124" s="275">
        <f t="shared" si="1"/>
        <v>2263750</v>
      </c>
      <c r="I124" s="171"/>
    </row>
    <row r="125" spans="1:9" s="16" customFormat="1" ht="20.100000000000001" customHeight="1">
      <c r="A125" s="171"/>
      <c r="B125" s="143">
        <v>115</v>
      </c>
      <c r="C125" s="143" t="s">
        <v>558</v>
      </c>
      <c r="D125" s="143" t="s">
        <v>559</v>
      </c>
      <c r="E125" s="144" t="s">
        <v>560</v>
      </c>
      <c r="F125" s="22">
        <v>550000</v>
      </c>
      <c r="G125" s="264">
        <v>6000000</v>
      </c>
      <c r="H125" s="275">
        <f t="shared" si="1"/>
        <v>5450000</v>
      </c>
      <c r="I125" s="171"/>
    </row>
    <row r="126" spans="1:9" s="16" customFormat="1" ht="20.100000000000001" customHeight="1">
      <c r="A126" s="171"/>
      <c r="B126" s="143">
        <v>116</v>
      </c>
      <c r="C126" s="274" t="s">
        <v>1978</v>
      </c>
      <c r="D126" s="143" t="s">
        <v>1495</v>
      </c>
      <c r="E126" s="144" t="s">
        <v>1496</v>
      </c>
      <c r="F126" s="22">
        <v>1233000</v>
      </c>
      <c r="G126" s="264">
        <v>2000000</v>
      </c>
      <c r="H126" s="275">
        <f t="shared" si="1"/>
        <v>767000</v>
      </c>
      <c r="I126" s="171"/>
    </row>
    <row r="127" spans="1:9" s="16" customFormat="1" ht="20.100000000000001" customHeight="1">
      <c r="A127" s="171"/>
      <c r="B127" s="143">
        <v>117</v>
      </c>
      <c r="C127" s="143" t="s">
        <v>561</v>
      </c>
      <c r="D127" s="143" t="s">
        <v>562</v>
      </c>
      <c r="E127" s="144" t="s">
        <v>563</v>
      </c>
      <c r="F127" s="22">
        <v>309375</v>
      </c>
      <c r="G127" s="264">
        <v>2500000</v>
      </c>
      <c r="H127" s="275">
        <f t="shared" si="1"/>
        <v>2190625</v>
      </c>
      <c r="I127" s="171"/>
    </row>
    <row r="128" spans="1:9" s="16" customFormat="1" ht="20.100000000000001" customHeight="1">
      <c r="A128" s="171"/>
      <c r="B128" s="143">
        <v>118</v>
      </c>
      <c r="C128" s="143" t="s">
        <v>564</v>
      </c>
      <c r="D128" s="143" t="s">
        <v>565</v>
      </c>
      <c r="E128" s="144" t="s">
        <v>566</v>
      </c>
      <c r="F128" s="22">
        <v>825000</v>
      </c>
      <c r="G128" s="264">
        <v>6000000</v>
      </c>
      <c r="H128" s="275">
        <f t="shared" si="1"/>
        <v>5175000</v>
      </c>
      <c r="I128" s="171"/>
    </row>
    <row r="129" spans="1:9" s="16" customFormat="1" ht="20.100000000000001" customHeight="1">
      <c r="A129" s="171"/>
      <c r="B129" s="143">
        <v>119</v>
      </c>
      <c r="C129" s="143" t="s">
        <v>218</v>
      </c>
      <c r="D129" s="143" t="s">
        <v>219</v>
      </c>
      <c r="E129" s="144" t="s">
        <v>220</v>
      </c>
      <c r="F129" s="22">
        <v>1400000</v>
      </c>
      <c r="G129" s="264">
        <v>5000000</v>
      </c>
      <c r="H129" s="275">
        <f t="shared" si="1"/>
        <v>3600000</v>
      </c>
      <c r="I129" s="171"/>
    </row>
    <row r="130" spans="1:9" s="16" customFormat="1" ht="20.100000000000001" customHeight="1">
      <c r="A130" s="171"/>
      <c r="B130" s="143">
        <v>120</v>
      </c>
      <c r="C130" s="143" t="s">
        <v>567</v>
      </c>
      <c r="D130" s="143" t="s">
        <v>568</v>
      </c>
      <c r="E130" s="144" t="s">
        <v>569</v>
      </c>
      <c r="F130" s="22">
        <v>926500</v>
      </c>
      <c r="G130" s="264">
        <v>1700845.09</v>
      </c>
      <c r="H130" s="275">
        <f t="shared" si="1"/>
        <v>774345.09000000008</v>
      </c>
      <c r="I130" s="171"/>
    </row>
    <row r="131" spans="1:9" s="16" customFormat="1" ht="20.100000000000001" customHeight="1">
      <c r="A131" s="171"/>
      <c r="B131" s="143">
        <v>121</v>
      </c>
      <c r="C131" s="143" t="s">
        <v>570</v>
      </c>
      <c r="D131" s="143" t="s">
        <v>571</v>
      </c>
      <c r="E131" s="144" t="s">
        <v>572</v>
      </c>
      <c r="F131" s="22">
        <v>2200000</v>
      </c>
      <c r="G131" s="264">
        <v>2551267.63</v>
      </c>
      <c r="H131" s="275">
        <f t="shared" si="1"/>
        <v>351267.62999999989</v>
      </c>
      <c r="I131" s="171"/>
    </row>
    <row r="132" spans="1:9" s="16" customFormat="1" ht="20.100000000000001" customHeight="1">
      <c r="A132" s="171"/>
      <c r="B132" s="143">
        <v>122</v>
      </c>
      <c r="C132" s="143" t="s">
        <v>573</v>
      </c>
      <c r="D132" s="143" t="s">
        <v>574</v>
      </c>
      <c r="E132" s="144" t="s">
        <v>575</v>
      </c>
      <c r="F132" s="22">
        <v>600000</v>
      </c>
      <c r="G132" s="264">
        <v>1020507.05</v>
      </c>
      <c r="H132" s="275">
        <f t="shared" si="1"/>
        <v>420507.05000000005</v>
      </c>
      <c r="I132" s="171"/>
    </row>
    <row r="133" spans="1:9" s="16" customFormat="1" ht="20.100000000000001" customHeight="1">
      <c r="A133" s="171"/>
      <c r="B133" s="143">
        <v>123</v>
      </c>
      <c r="C133" s="143" t="s">
        <v>576</v>
      </c>
      <c r="D133" s="143" t="s">
        <v>577</v>
      </c>
      <c r="E133" s="144" t="s">
        <v>578</v>
      </c>
      <c r="F133" s="22">
        <v>2100000</v>
      </c>
      <c r="G133" s="264">
        <v>5669483.6200000001</v>
      </c>
      <c r="H133" s="275">
        <f t="shared" si="1"/>
        <v>3569483.62</v>
      </c>
      <c r="I133" s="171"/>
    </row>
    <row r="134" spans="1:9" s="16" customFormat="1" ht="20.100000000000001" customHeight="1">
      <c r="A134" s="171"/>
      <c r="B134" s="143">
        <v>124</v>
      </c>
      <c r="C134" s="143" t="s">
        <v>579</v>
      </c>
      <c r="D134" s="143" t="s">
        <v>580</v>
      </c>
      <c r="E134" s="144" t="s">
        <v>581</v>
      </c>
      <c r="F134" s="22">
        <v>10800000</v>
      </c>
      <c r="G134" s="264">
        <v>12854647.970000001</v>
      </c>
      <c r="H134" s="275">
        <f t="shared" si="1"/>
        <v>2054647.9700000007</v>
      </c>
      <c r="I134" s="171"/>
    </row>
    <row r="135" spans="1:9" s="16" customFormat="1" ht="20.100000000000001" customHeight="1">
      <c r="A135" s="171"/>
      <c r="B135" s="143">
        <v>125</v>
      </c>
      <c r="C135" s="143" t="s">
        <v>221</v>
      </c>
      <c r="D135" s="143" t="s">
        <v>222</v>
      </c>
      <c r="E135" s="144" t="s">
        <v>223</v>
      </c>
      <c r="F135" s="22">
        <v>4500000</v>
      </c>
      <c r="G135" s="264">
        <v>10000000</v>
      </c>
      <c r="H135" s="275">
        <f t="shared" si="1"/>
        <v>5500000</v>
      </c>
      <c r="I135" s="171"/>
    </row>
    <row r="136" spans="1:9" s="16" customFormat="1" ht="20.100000000000001" customHeight="1">
      <c r="A136" s="171"/>
      <c r="B136" s="143">
        <v>126</v>
      </c>
      <c r="C136" s="143" t="s">
        <v>224</v>
      </c>
      <c r="D136" s="143" t="s">
        <v>225</v>
      </c>
      <c r="E136" s="144" t="s">
        <v>226</v>
      </c>
      <c r="F136" s="22">
        <v>660000</v>
      </c>
      <c r="G136" s="264">
        <v>3000000</v>
      </c>
      <c r="H136" s="275">
        <f t="shared" si="1"/>
        <v>2340000</v>
      </c>
      <c r="I136" s="171"/>
    </row>
    <row r="137" spans="1:9" s="16" customFormat="1" ht="20.100000000000001" customHeight="1">
      <c r="A137" s="171"/>
      <c r="B137" s="143">
        <v>127</v>
      </c>
      <c r="C137" s="143" t="s">
        <v>227</v>
      </c>
      <c r="D137" s="143" t="s">
        <v>228</v>
      </c>
      <c r="E137" s="144" t="s">
        <v>229</v>
      </c>
      <c r="F137" s="22">
        <v>3900000</v>
      </c>
      <c r="G137" s="264">
        <v>9071173.7899999991</v>
      </c>
      <c r="H137" s="275">
        <f t="shared" si="1"/>
        <v>5171173.7899999991</v>
      </c>
      <c r="I137" s="171"/>
    </row>
    <row r="138" spans="1:9" s="16" customFormat="1" ht="20.100000000000001" customHeight="1">
      <c r="A138" s="171"/>
      <c r="B138" s="143">
        <v>128</v>
      </c>
      <c r="C138" s="274" t="s">
        <v>1979</v>
      </c>
      <c r="D138" s="143" t="s">
        <v>1506</v>
      </c>
      <c r="E138" s="144" t="s">
        <v>1507</v>
      </c>
      <c r="F138" s="22">
        <v>600000</v>
      </c>
      <c r="G138" s="264">
        <v>2000000</v>
      </c>
      <c r="H138" s="275">
        <f t="shared" si="1"/>
        <v>1400000</v>
      </c>
      <c r="I138" s="171"/>
    </row>
    <row r="139" spans="1:9" s="16" customFormat="1" ht="20.100000000000001" customHeight="1">
      <c r="A139" s="171"/>
      <c r="B139" s="143">
        <v>129</v>
      </c>
      <c r="C139" s="143" t="s">
        <v>230</v>
      </c>
      <c r="D139" s="143" t="s">
        <v>231</v>
      </c>
      <c r="E139" s="144" t="s">
        <v>232</v>
      </c>
      <c r="F139" s="22">
        <v>1416893.5</v>
      </c>
      <c r="G139" s="264">
        <v>5000000</v>
      </c>
      <c r="H139" s="275">
        <f t="shared" si="1"/>
        <v>3583106.5</v>
      </c>
      <c r="I139" s="171"/>
    </row>
    <row r="140" spans="1:9" s="16" customFormat="1" ht="20.100000000000001" customHeight="1">
      <c r="A140" s="171"/>
      <c r="B140" s="143">
        <v>130</v>
      </c>
      <c r="C140" s="143" t="s">
        <v>233</v>
      </c>
      <c r="D140" s="143" t="s">
        <v>234</v>
      </c>
      <c r="E140" s="144" t="s">
        <v>235</v>
      </c>
      <c r="F140" s="22">
        <v>720000</v>
      </c>
      <c r="G140" s="264">
        <v>2000000</v>
      </c>
      <c r="H140" s="275">
        <f t="shared" si="1"/>
        <v>1280000</v>
      </c>
      <c r="I140" s="171"/>
    </row>
    <row r="141" spans="1:9" s="16" customFormat="1" ht="20.100000000000001" customHeight="1">
      <c r="A141" s="171"/>
      <c r="B141" s="143">
        <v>131</v>
      </c>
      <c r="C141" s="143" t="s">
        <v>236</v>
      </c>
      <c r="D141" s="143" t="s">
        <v>237</v>
      </c>
      <c r="E141" s="144" t="s">
        <v>582</v>
      </c>
      <c r="F141" s="22">
        <v>900000</v>
      </c>
      <c r="G141" s="264">
        <v>2737930.42</v>
      </c>
      <c r="H141" s="275">
        <f t="shared" ref="H141:H147" si="2">G141-F141</f>
        <v>1837930.42</v>
      </c>
      <c r="I141" s="171"/>
    </row>
    <row r="142" spans="1:9" s="16" customFormat="1" ht="20.100000000000001" customHeight="1">
      <c r="A142" s="171"/>
      <c r="B142" s="143">
        <v>132</v>
      </c>
      <c r="C142" s="143" t="s">
        <v>239</v>
      </c>
      <c r="D142" s="143" t="s">
        <v>240</v>
      </c>
      <c r="E142" s="144" t="s">
        <v>241</v>
      </c>
      <c r="F142" s="22">
        <v>8772000</v>
      </c>
      <c r="G142" s="264">
        <v>20000000</v>
      </c>
      <c r="H142" s="275">
        <f t="shared" si="2"/>
        <v>11228000</v>
      </c>
      <c r="I142" s="171"/>
    </row>
    <row r="143" spans="1:9" s="16" customFormat="1" ht="20.100000000000001" customHeight="1">
      <c r="A143" s="171"/>
      <c r="B143" s="143">
        <v>133</v>
      </c>
      <c r="C143" s="143">
        <v>23100300200</v>
      </c>
      <c r="D143" s="143" t="s">
        <v>583</v>
      </c>
      <c r="E143" s="144" t="s">
        <v>584</v>
      </c>
      <c r="F143" s="22">
        <v>550000</v>
      </c>
      <c r="G143" s="264">
        <v>3000000</v>
      </c>
      <c r="H143" s="275">
        <f t="shared" si="2"/>
        <v>2450000</v>
      </c>
      <c r="I143" s="171"/>
    </row>
    <row r="144" spans="1:9" s="16" customFormat="1" ht="20.100000000000001" customHeight="1">
      <c r="A144" s="171"/>
      <c r="B144" s="143">
        <v>134</v>
      </c>
      <c r="C144" s="143" t="s">
        <v>585</v>
      </c>
      <c r="D144" s="143" t="s">
        <v>586</v>
      </c>
      <c r="E144" s="144" t="s">
        <v>587</v>
      </c>
      <c r="F144" s="22">
        <v>1100000</v>
      </c>
      <c r="G144" s="264">
        <v>6000000</v>
      </c>
      <c r="H144" s="275">
        <f t="shared" si="2"/>
        <v>4900000</v>
      </c>
      <c r="I144" s="171"/>
    </row>
    <row r="145" spans="1:9" s="16" customFormat="1" ht="20.100000000000001" customHeight="1">
      <c r="A145" s="171"/>
      <c r="B145" s="143">
        <v>135</v>
      </c>
      <c r="C145" s="279" t="s">
        <v>558</v>
      </c>
      <c r="D145" s="368" t="s">
        <v>462</v>
      </c>
      <c r="E145" s="144" t="s">
        <v>463</v>
      </c>
      <c r="F145" s="369">
        <v>550000</v>
      </c>
      <c r="G145" s="370">
        <v>2000000</v>
      </c>
      <c r="H145" s="275">
        <f t="shared" si="2"/>
        <v>1450000</v>
      </c>
      <c r="I145" s="171"/>
    </row>
    <row r="146" spans="1:9" s="16" customFormat="1" ht="20.100000000000001" customHeight="1">
      <c r="A146" s="171"/>
      <c r="B146" s="143">
        <v>136</v>
      </c>
      <c r="C146" s="279" t="s">
        <v>600</v>
      </c>
      <c r="D146" s="368" t="s">
        <v>464</v>
      </c>
      <c r="E146" s="312" t="s">
        <v>465</v>
      </c>
      <c r="F146" s="369">
        <v>550000</v>
      </c>
      <c r="G146" s="370">
        <v>3000000</v>
      </c>
      <c r="H146" s="275">
        <f t="shared" si="2"/>
        <v>2450000</v>
      </c>
      <c r="I146" s="171"/>
    </row>
    <row r="147" spans="1:9" s="16" customFormat="1" ht="20.100000000000001" customHeight="1">
      <c r="A147" s="171"/>
      <c r="B147" s="143">
        <v>137</v>
      </c>
      <c r="C147" s="176" t="s">
        <v>489</v>
      </c>
      <c r="D147" s="31" t="s">
        <v>453</v>
      </c>
      <c r="E147" s="316" t="s">
        <v>454</v>
      </c>
      <c r="F147" s="367">
        <v>1100000</v>
      </c>
      <c r="G147" s="367">
        <v>4000000</v>
      </c>
      <c r="H147" s="275">
        <f t="shared" si="2"/>
        <v>2900000</v>
      </c>
      <c r="I147" s="171"/>
    </row>
    <row r="148" spans="1:9" s="16" customFormat="1" ht="20.100000000000001" customHeight="1">
      <c r="A148" s="171"/>
      <c r="B148" s="143"/>
      <c r="C148" s="143"/>
      <c r="D148" s="143"/>
      <c r="E148" s="311" t="s">
        <v>588</v>
      </c>
      <c r="F148" s="245">
        <f>SUM(F76:F147)</f>
        <v>349871866.13</v>
      </c>
      <c r="G148" s="266">
        <f>SUM(G76:G147)</f>
        <v>618068788.93999994</v>
      </c>
      <c r="H148" s="266">
        <f>SUM(H76:H147)</f>
        <v>268196922.80999997</v>
      </c>
      <c r="I148" s="171"/>
    </row>
    <row r="149" spans="1:9" s="16" customFormat="1" ht="20.100000000000001" customHeight="1">
      <c r="A149" s="171"/>
      <c r="B149" s="143"/>
      <c r="C149" s="143"/>
      <c r="D149" s="143"/>
      <c r="E149" s="144"/>
      <c r="F149" s="22"/>
      <c r="G149" s="264"/>
      <c r="H149" s="143"/>
      <c r="I149" s="171"/>
    </row>
    <row r="150" spans="1:9" s="16" customFormat="1" ht="20.100000000000001" customHeight="1">
      <c r="A150" s="171"/>
      <c r="B150" s="143"/>
      <c r="C150" s="143"/>
      <c r="D150" s="143"/>
      <c r="E150" s="311" t="s">
        <v>249</v>
      </c>
      <c r="F150" s="22"/>
      <c r="G150" s="264"/>
      <c r="H150" s="143"/>
      <c r="I150" s="171"/>
    </row>
    <row r="151" spans="1:9" s="16" customFormat="1" ht="20.100000000000001" customHeight="1">
      <c r="A151" s="171"/>
      <c r="B151" s="143">
        <v>138</v>
      </c>
      <c r="C151" s="143" t="s">
        <v>591</v>
      </c>
      <c r="D151" s="143" t="s">
        <v>590</v>
      </c>
      <c r="E151" s="144" t="s">
        <v>592</v>
      </c>
      <c r="F151" s="22">
        <v>1540000</v>
      </c>
      <c r="G151" s="264">
        <v>2551267.63</v>
      </c>
      <c r="H151" s="275">
        <f>G151-F151</f>
        <v>1011267.6299999999</v>
      </c>
      <c r="I151" s="171"/>
    </row>
    <row r="152" spans="1:9" s="16" customFormat="1" ht="20.100000000000001" customHeight="1">
      <c r="A152" s="171"/>
      <c r="B152" s="143">
        <v>139</v>
      </c>
      <c r="C152" s="143" t="s">
        <v>593</v>
      </c>
      <c r="D152" s="143" t="s">
        <v>594</v>
      </c>
      <c r="E152" s="144" t="s">
        <v>595</v>
      </c>
      <c r="F152" s="22">
        <v>825000</v>
      </c>
      <c r="G152" s="264">
        <v>5000000</v>
      </c>
      <c r="H152" s="275">
        <f t="shared" ref="H152:H185" si="3">G152-F152</f>
        <v>4175000</v>
      </c>
      <c r="I152" s="171"/>
    </row>
    <row r="153" spans="1:9" s="16" customFormat="1" ht="20.100000000000001" customHeight="1">
      <c r="A153" s="171"/>
      <c r="B153" s="143">
        <v>140</v>
      </c>
      <c r="C153" s="143" t="s">
        <v>251</v>
      </c>
      <c r="D153" s="143" t="s">
        <v>252</v>
      </c>
      <c r="E153" s="144" t="s">
        <v>253</v>
      </c>
      <c r="F153" s="22">
        <v>5000000</v>
      </c>
      <c r="G153" s="264">
        <v>10037277.060000001</v>
      </c>
      <c r="H153" s="275">
        <f t="shared" si="3"/>
        <v>5037277.0600000005</v>
      </c>
      <c r="I153" s="171"/>
    </row>
    <row r="154" spans="1:9" s="16" customFormat="1" ht="20.100000000000001" customHeight="1">
      <c r="A154" s="171"/>
      <c r="B154" s="143">
        <v>141</v>
      </c>
      <c r="C154" s="143" t="s">
        <v>254</v>
      </c>
      <c r="D154" s="143" t="s">
        <v>255</v>
      </c>
      <c r="E154" s="144" t="s">
        <v>256</v>
      </c>
      <c r="F154" s="22">
        <v>74250</v>
      </c>
      <c r="G154" s="264">
        <v>566948.36</v>
      </c>
      <c r="H154" s="275">
        <f t="shared" si="3"/>
        <v>492698.36</v>
      </c>
      <c r="I154" s="171"/>
    </row>
    <row r="155" spans="1:9" s="16" customFormat="1" ht="20.100000000000001" customHeight="1">
      <c r="A155" s="171"/>
      <c r="B155" s="143">
        <v>142</v>
      </c>
      <c r="C155" s="143" t="s">
        <v>257</v>
      </c>
      <c r="D155" s="143" t="s">
        <v>258</v>
      </c>
      <c r="E155" s="144" t="s">
        <v>259</v>
      </c>
      <c r="F155" s="22">
        <v>755750</v>
      </c>
      <c r="G155" s="264">
        <v>1530760.58</v>
      </c>
      <c r="H155" s="275">
        <f t="shared" si="3"/>
        <v>775010.58000000007</v>
      </c>
      <c r="I155" s="171"/>
    </row>
    <row r="156" spans="1:9" s="16" customFormat="1" ht="20.100000000000001" customHeight="1">
      <c r="A156" s="171"/>
      <c r="B156" s="143">
        <v>143</v>
      </c>
      <c r="C156" s="143" t="s">
        <v>260</v>
      </c>
      <c r="D156" s="143" t="s">
        <v>261</v>
      </c>
      <c r="E156" s="144" t="s">
        <v>596</v>
      </c>
      <c r="F156" s="22">
        <v>3200000</v>
      </c>
      <c r="G156" s="264">
        <v>7000000</v>
      </c>
      <c r="H156" s="275">
        <f t="shared" si="3"/>
        <v>3800000</v>
      </c>
      <c r="I156" s="171"/>
    </row>
    <row r="157" spans="1:9" s="16" customFormat="1" ht="20.100000000000001" customHeight="1">
      <c r="A157" s="171"/>
      <c r="B157" s="143">
        <v>144</v>
      </c>
      <c r="C157" s="143" t="s">
        <v>271</v>
      </c>
      <c r="D157" s="143" t="s">
        <v>272</v>
      </c>
      <c r="E157" s="144" t="s">
        <v>273</v>
      </c>
      <c r="F157" s="22">
        <v>20483500</v>
      </c>
      <c r="G157" s="264">
        <v>36000000</v>
      </c>
      <c r="H157" s="275">
        <f t="shared" si="3"/>
        <v>15516500</v>
      </c>
      <c r="I157" s="171"/>
    </row>
    <row r="158" spans="1:9" s="16" customFormat="1" ht="20.100000000000001" customHeight="1">
      <c r="A158" s="171"/>
      <c r="B158" s="143">
        <v>145</v>
      </c>
      <c r="C158" s="143" t="s">
        <v>274</v>
      </c>
      <c r="D158" s="143" t="s">
        <v>275</v>
      </c>
      <c r="E158" s="144" t="s">
        <v>276</v>
      </c>
      <c r="F158" s="22">
        <v>1800000</v>
      </c>
      <c r="G158" s="264">
        <v>3000000</v>
      </c>
      <c r="H158" s="275">
        <f t="shared" si="3"/>
        <v>1200000</v>
      </c>
      <c r="I158" s="171"/>
    </row>
    <row r="159" spans="1:9" s="16" customFormat="1" ht="20.100000000000001" customHeight="1">
      <c r="A159" s="171"/>
      <c r="B159" s="143">
        <v>146</v>
      </c>
      <c r="C159" s="143" t="s">
        <v>597</v>
      </c>
      <c r="D159" s="143" t="s">
        <v>598</v>
      </c>
      <c r="E159" s="144" t="s">
        <v>599</v>
      </c>
      <c r="F159" s="22">
        <v>1200000</v>
      </c>
      <c r="G159" s="264">
        <v>2721352.14</v>
      </c>
      <c r="H159" s="275">
        <f t="shared" si="3"/>
        <v>1521352.1400000001</v>
      </c>
      <c r="I159" s="171"/>
    </row>
    <row r="160" spans="1:9" s="16" customFormat="1" ht="20.100000000000001" customHeight="1">
      <c r="A160" s="171"/>
      <c r="B160" s="143">
        <v>147</v>
      </c>
      <c r="C160" s="143" t="s">
        <v>281</v>
      </c>
      <c r="D160" s="143" t="s">
        <v>282</v>
      </c>
      <c r="E160" s="144" t="s">
        <v>283</v>
      </c>
      <c r="F160" s="22">
        <v>13200000</v>
      </c>
      <c r="G160" s="264">
        <v>20000000</v>
      </c>
      <c r="H160" s="275">
        <f t="shared" si="3"/>
        <v>6800000</v>
      </c>
      <c r="I160" s="171"/>
    </row>
    <row r="161" spans="1:9" s="16" customFormat="1" ht="20.100000000000001" customHeight="1">
      <c r="A161" s="171"/>
      <c r="B161" s="143">
        <v>148</v>
      </c>
      <c r="C161" s="143" t="s">
        <v>284</v>
      </c>
      <c r="D161" s="143" t="s">
        <v>285</v>
      </c>
      <c r="E161" s="144" t="s">
        <v>286</v>
      </c>
      <c r="F161" s="22">
        <v>400000</v>
      </c>
      <c r="G161" s="264">
        <v>1700000</v>
      </c>
      <c r="H161" s="275">
        <f t="shared" si="3"/>
        <v>1300000</v>
      </c>
      <c r="I161" s="171"/>
    </row>
    <row r="162" spans="1:9" s="16" customFormat="1" ht="20.100000000000001" customHeight="1">
      <c r="A162" s="171"/>
      <c r="B162" s="143">
        <v>149</v>
      </c>
      <c r="C162" s="143" t="s">
        <v>287</v>
      </c>
      <c r="D162" s="143" t="s">
        <v>288</v>
      </c>
      <c r="E162" s="144" t="s">
        <v>289</v>
      </c>
      <c r="F162" s="22">
        <f>40000+400000</f>
        <v>440000</v>
      </c>
      <c r="G162" s="264">
        <v>1700000</v>
      </c>
      <c r="H162" s="275">
        <f t="shared" si="3"/>
        <v>1260000</v>
      </c>
      <c r="I162" s="171"/>
    </row>
    <row r="163" spans="1:9" s="16" customFormat="1" ht="20.100000000000001" customHeight="1">
      <c r="A163" s="171"/>
      <c r="B163" s="143">
        <v>150</v>
      </c>
      <c r="C163" s="143" t="s">
        <v>290</v>
      </c>
      <c r="D163" s="143" t="s">
        <v>291</v>
      </c>
      <c r="E163" s="144" t="s">
        <v>292</v>
      </c>
      <c r="F163" s="22">
        <v>900000</v>
      </c>
      <c r="G163" s="264">
        <v>1700845.09</v>
      </c>
      <c r="H163" s="275">
        <f t="shared" si="3"/>
        <v>800845.09000000008</v>
      </c>
      <c r="I163" s="171"/>
    </row>
    <row r="164" spans="1:9" s="16" customFormat="1" ht="20.100000000000001" customHeight="1">
      <c r="A164" s="171"/>
      <c r="B164" s="143">
        <v>151</v>
      </c>
      <c r="C164" s="143" t="s">
        <v>293</v>
      </c>
      <c r="D164" s="143" t="s">
        <v>294</v>
      </c>
      <c r="E164" s="144" t="s">
        <v>295</v>
      </c>
      <c r="F164" s="22">
        <v>440000</v>
      </c>
      <c r="G164" s="264">
        <v>3401690.17</v>
      </c>
      <c r="H164" s="275">
        <f t="shared" si="3"/>
        <v>2961690.17</v>
      </c>
      <c r="I164" s="171"/>
    </row>
    <row r="165" spans="1:9" s="16" customFormat="1" ht="20.100000000000001" customHeight="1">
      <c r="A165" s="171"/>
      <c r="B165" s="143">
        <v>152</v>
      </c>
      <c r="C165" s="143" t="s">
        <v>296</v>
      </c>
      <c r="D165" s="143" t="s">
        <v>297</v>
      </c>
      <c r="E165" s="144" t="s">
        <v>298</v>
      </c>
      <c r="F165" s="22">
        <v>1200000</v>
      </c>
      <c r="G165" s="264">
        <v>2551267.63</v>
      </c>
      <c r="H165" s="275">
        <f t="shared" si="3"/>
        <v>1351267.63</v>
      </c>
      <c r="I165" s="171"/>
    </row>
    <row r="166" spans="1:9" s="16" customFormat="1" ht="20.100000000000001" customHeight="1">
      <c r="A166" s="171"/>
      <c r="B166" s="143">
        <v>153</v>
      </c>
      <c r="C166" s="143" t="s">
        <v>299</v>
      </c>
      <c r="D166" s="143" t="s">
        <v>300</v>
      </c>
      <c r="E166" s="144" t="s">
        <v>301</v>
      </c>
      <c r="F166" s="22">
        <v>2000000</v>
      </c>
      <c r="G166" s="264">
        <v>9000000</v>
      </c>
      <c r="H166" s="275">
        <f t="shared" si="3"/>
        <v>7000000</v>
      </c>
      <c r="I166" s="171"/>
    </row>
    <row r="167" spans="1:9" s="16" customFormat="1" ht="20.100000000000001" customHeight="1">
      <c r="A167" s="171"/>
      <c r="B167" s="143">
        <v>154</v>
      </c>
      <c r="C167" s="274" t="s">
        <v>1980</v>
      </c>
      <c r="D167" s="143" t="s">
        <v>1491</v>
      </c>
      <c r="E167" s="144" t="s">
        <v>1492</v>
      </c>
      <c r="F167" s="22">
        <v>500000</v>
      </c>
      <c r="G167" s="264">
        <v>2000000</v>
      </c>
      <c r="H167" s="275">
        <f t="shared" si="3"/>
        <v>1500000</v>
      </c>
      <c r="I167" s="171"/>
    </row>
    <row r="168" spans="1:9" s="16" customFormat="1" ht="20.100000000000001" customHeight="1">
      <c r="A168" s="171"/>
      <c r="B168" s="143">
        <v>155</v>
      </c>
      <c r="C168" s="274" t="s">
        <v>1981</v>
      </c>
      <c r="D168" s="143" t="s">
        <v>1497</v>
      </c>
      <c r="E168" s="144" t="s">
        <v>1498</v>
      </c>
      <c r="F168" s="22">
        <v>500000</v>
      </c>
      <c r="G168" s="264">
        <v>2000000</v>
      </c>
      <c r="H168" s="275">
        <f t="shared" si="3"/>
        <v>1500000</v>
      </c>
      <c r="I168" s="171"/>
    </row>
    <row r="169" spans="1:9" s="16" customFormat="1" ht="20.100000000000001" customHeight="1">
      <c r="A169" s="171"/>
      <c r="B169" s="143">
        <v>156</v>
      </c>
      <c r="C169" s="274" t="s">
        <v>600</v>
      </c>
      <c r="D169" s="143" t="s">
        <v>601</v>
      </c>
      <c r="E169" s="144" t="s">
        <v>602</v>
      </c>
      <c r="F169" s="22">
        <v>1800000</v>
      </c>
      <c r="G169" s="264">
        <v>3061521.15</v>
      </c>
      <c r="H169" s="275">
        <f t="shared" si="3"/>
        <v>1261521.1499999999</v>
      </c>
      <c r="I169" s="171"/>
    </row>
    <row r="170" spans="1:9" s="16" customFormat="1" ht="20.100000000000001" customHeight="1">
      <c r="A170" s="171"/>
      <c r="B170" s="143">
        <v>157</v>
      </c>
      <c r="C170" s="274" t="s">
        <v>302</v>
      </c>
      <c r="D170" s="143" t="s">
        <v>303</v>
      </c>
      <c r="E170" s="144" t="s">
        <v>304</v>
      </c>
      <c r="F170" s="22">
        <v>2420000</v>
      </c>
      <c r="G170" s="264">
        <v>6000000</v>
      </c>
      <c r="H170" s="275">
        <f t="shared" si="3"/>
        <v>3580000</v>
      </c>
      <c r="I170" s="171"/>
    </row>
    <row r="171" spans="1:9" s="16" customFormat="1" ht="20.100000000000001" customHeight="1">
      <c r="A171" s="171"/>
      <c r="B171" s="143">
        <v>158</v>
      </c>
      <c r="C171" s="274" t="s">
        <v>305</v>
      </c>
      <c r="D171" s="143" t="s">
        <v>306</v>
      </c>
      <c r="E171" s="144" t="s">
        <v>307</v>
      </c>
      <c r="F171" s="22">
        <v>2900000</v>
      </c>
      <c r="G171" s="264">
        <v>8504225.4299999997</v>
      </c>
      <c r="H171" s="275">
        <f t="shared" si="3"/>
        <v>5604225.4299999997</v>
      </c>
      <c r="I171" s="171"/>
    </row>
    <row r="172" spans="1:9" s="16" customFormat="1" ht="20.100000000000001" customHeight="1">
      <c r="A172" s="171"/>
      <c r="B172" s="143">
        <v>159</v>
      </c>
      <c r="C172" s="274" t="s">
        <v>1982</v>
      </c>
      <c r="D172" s="143" t="s">
        <v>1493</v>
      </c>
      <c r="E172" s="144" t="s">
        <v>1494</v>
      </c>
      <c r="F172" s="22">
        <v>550000</v>
      </c>
      <c r="G172" s="264">
        <v>2000000</v>
      </c>
      <c r="H172" s="275">
        <f t="shared" si="3"/>
        <v>1450000</v>
      </c>
      <c r="I172" s="171"/>
    </row>
    <row r="173" spans="1:9" s="16" customFormat="1" ht="20.100000000000001" customHeight="1">
      <c r="A173" s="171"/>
      <c r="B173" s="143">
        <v>160</v>
      </c>
      <c r="C173" s="143" t="s">
        <v>308</v>
      </c>
      <c r="D173" s="143" t="s">
        <v>309</v>
      </c>
      <c r="E173" s="144" t="s">
        <v>310</v>
      </c>
      <c r="F173" s="22">
        <v>506000</v>
      </c>
      <c r="G173" s="264">
        <v>1500000</v>
      </c>
      <c r="H173" s="275">
        <f t="shared" si="3"/>
        <v>994000</v>
      </c>
      <c r="I173" s="171"/>
    </row>
    <row r="174" spans="1:9" s="16" customFormat="1" ht="20.100000000000001" customHeight="1">
      <c r="A174" s="171"/>
      <c r="B174" s="143">
        <v>161</v>
      </c>
      <c r="C174" s="143" t="s">
        <v>311</v>
      </c>
      <c r="D174" s="143" t="s">
        <v>312</v>
      </c>
      <c r="E174" s="144" t="s">
        <v>313</v>
      </c>
      <c r="F174" s="22">
        <v>4560000</v>
      </c>
      <c r="G174" s="264">
        <v>7000000</v>
      </c>
      <c r="H174" s="275">
        <f t="shared" si="3"/>
        <v>2440000</v>
      </c>
      <c r="I174" s="171"/>
    </row>
    <row r="175" spans="1:9" s="16" customFormat="1" ht="20.100000000000001" customHeight="1">
      <c r="A175" s="171"/>
      <c r="B175" s="143">
        <v>162</v>
      </c>
      <c r="C175" s="143" t="s">
        <v>314</v>
      </c>
      <c r="D175" s="143" t="s">
        <v>315</v>
      </c>
      <c r="E175" s="144" t="s">
        <v>316</v>
      </c>
      <c r="F175" s="22">
        <v>600000</v>
      </c>
      <c r="G175" s="264">
        <v>1700845.09</v>
      </c>
      <c r="H175" s="275">
        <f t="shared" si="3"/>
        <v>1100845.0900000001</v>
      </c>
      <c r="I175" s="171"/>
    </row>
    <row r="176" spans="1:9" s="16" customFormat="1" ht="20.100000000000001" customHeight="1">
      <c r="A176" s="171"/>
      <c r="B176" s="143">
        <v>163</v>
      </c>
      <c r="C176" s="143" t="s">
        <v>317</v>
      </c>
      <c r="D176" s="143" t="s">
        <v>318</v>
      </c>
      <c r="E176" s="144" t="s">
        <v>319</v>
      </c>
      <c r="F176" s="22">
        <v>3488333.41</v>
      </c>
      <c r="G176" s="264">
        <v>7754627.3700000001</v>
      </c>
      <c r="H176" s="275">
        <f t="shared" si="3"/>
        <v>4266293.96</v>
      </c>
      <c r="I176" s="171"/>
    </row>
    <row r="177" spans="1:9" s="16" customFormat="1" ht="20.100000000000001" customHeight="1">
      <c r="A177" s="171"/>
      <c r="B177" s="143">
        <v>164</v>
      </c>
      <c r="C177" s="143" t="s">
        <v>603</v>
      </c>
      <c r="D177" s="143" t="s">
        <v>604</v>
      </c>
      <c r="E177" s="144" t="s">
        <v>605</v>
      </c>
      <c r="F177" s="22">
        <v>3500000</v>
      </c>
      <c r="G177" s="264">
        <v>5803380.3399999999</v>
      </c>
      <c r="H177" s="275">
        <f t="shared" si="3"/>
        <v>2303380.34</v>
      </c>
      <c r="I177" s="171"/>
    </row>
    <row r="178" spans="1:9" s="16" customFormat="1" ht="20.100000000000001" customHeight="1">
      <c r="A178" s="171"/>
      <c r="B178" s="143">
        <v>165</v>
      </c>
      <c r="C178" s="143" t="s">
        <v>320</v>
      </c>
      <c r="D178" s="143" t="s">
        <v>321</v>
      </c>
      <c r="E178" s="144" t="s">
        <v>322</v>
      </c>
      <c r="F178" s="22">
        <v>2900000</v>
      </c>
      <c r="G178" s="264">
        <v>7000000</v>
      </c>
      <c r="H178" s="275">
        <f t="shared" si="3"/>
        <v>4100000</v>
      </c>
      <c r="I178" s="171"/>
    </row>
    <row r="179" spans="1:9" s="16" customFormat="1" ht="20.100000000000001" customHeight="1">
      <c r="A179" s="171"/>
      <c r="B179" s="143">
        <v>166</v>
      </c>
      <c r="C179" s="143" t="s">
        <v>324</v>
      </c>
      <c r="D179" s="143" t="s">
        <v>325</v>
      </c>
      <c r="E179" s="144" t="s">
        <v>326</v>
      </c>
      <c r="F179" s="22">
        <v>1600000</v>
      </c>
      <c r="G179" s="264">
        <v>6000000</v>
      </c>
      <c r="H179" s="275">
        <f t="shared" si="3"/>
        <v>4400000</v>
      </c>
      <c r="I179" s="171"/>
    </row>
    <row r="180" spans="1:9" s="16" customFormat="1" ht="20.100000000000001" customHeight="1">
      <c r="A180" s="171"/>
      <c r="B180" s="143">
        <v>167</v>
      </c>
      <c r="C180" s="143" t="s">
        <v>324</v>
      </c>
      <c r="D180" s="143" t="s">
        <v>606</v>
      </c>
      <c r="E180" s="144" t="s">
        <v>1556</v>
      </c>
      <c r="F180" s="22">
        <v>600000</v>
      </c>
      <c r="G180" s="264">
        <v>1585460.29</v>
      </c>
      <c r="H180" s="275">
        <f t="shared" si="3"/>
        <v>985460.29</v>
      </c>
      <c r="I180" s="171"/>
    </row>
    <row r="181" spans="1:9" s="16" customFormat="1" ht="20.100000000000001" customHeight="1">
      <c r="A181" s="171"/>
      <c r="B181" s="143">
        <v>168</v>
      </c>
      <c r="C181" s="143" t="s">
        <v>608</v>
      </c>
      <c r="D181" s="143" t="s">
        <v>609</v>
      </c>
      <c r="E181" s="144" t="s">
        <v>610</v>
      </c>
      <c r="F181" s="22">
        <v>2400000</v>
      </c>
      <c r="G181" s="264">
        <v>3968638.53</v>
      </c>
      <c r="H181" s="275">
        <f t="shared" si="3"/>
        <v>1568638.5299999998</v>
      </c>
      <c r="I181" s="171"/>
    </row>
    <row r="182" spans="1:9" s="16" customFormat="1" ht="20.100000000000001" customHeight="1">
      <c r="A182" s="171"/>
      <c r="B182" s="143">
        <v>169</v>
      </c>
      <c r="C182" s="274" t="s">
        <v>1983</v>
      </c>
      <c r="D182" s="143" t="s">
        <v>611</v>
      </c>
      <c r="E182" s="144" t="s">
        <v>612</v>
      </c>
      <c r="F182" s="22">
        <v>600000</v>
      </c>
      <c r="G182" s="264">
        <v>3000000</v>
      </c>
      <c r="H182" s="275">
        <f t="shared" si="3"/>
        <v>2400000</v>
      </c>
      <c r="I182" s="171"/>
    </row>
    <row r="183" spans="1:9" s="16" customFormat="1" ht="20.100000000000001" customHeight="1">
      <c r="A183" s="171"/>
      <c r="B183" s="143">
        <v>170</v>
      </c>
      <c r="C183" s="274" t="s">
        <v>1984</v>
      </c>
      <c r="D183" s="143" t="s">
        <v>613</v>
      </c>
      <c r="E183" s="144" t="s">
        <v>614</v>
      </c>
      <c r="F183" s="22">
        <v>500000</v>
      </c>
      <c r="G183" s="264">
        <v>2000000</v>
      </c>
      <c r="H183" s="275">
        <f t="shared" si="3"/>
        <v>1500000</v>
      </c>
      <c r="I183" s="171"/>
    </row>
    <row r="184" spans="1:9" s="16" customFormat="1" ht="20.100000000000001" customHeight="1">
      <c r="A184" s="171"/>
      <c r="B184" s="143">
        <v>171</v>
      </c>
      <c r="C184" s="274" t="s">
        <v>1985</v>
      </c>
      <c r="D184" s="143" t="s">
        <v>1487</v>
      </c>
      <c r="E184" s="144" t="s">
        <v>615</v>
      </c>
      <c r="F184" s="22">
        <v>500000</v>
      </c>
      <c r="G184" s="264">
        <v>2000000</v>
      </c>
      <c r="H184" s="275">
        <f t="shared" si="3"/>
        <v>1500000</v>
      </c>
      <c r="I184" s="171"/>
    </row>
    <row r="185" spans="1:9" s="16" customFormat="1" ht="20.100000000000001" customHeight="1">
      <c r="A185" s="171"/>
      <c r="B185" s="143">
        <v>172</v>
      </c>
      <c r="C185" s="274" t="s">
        <v>616</v>
      </c>
      <c r="D185" s="143" t="s">
        <v>617</v>
      </c>
      <c r="E185" s="144" t="s">
        <v>618</v>
      </c>
      <c r="F185" s="22">
        <v>10968416</v>
      </c>
      <c r="G185" s="264">
        <v>14000000</v>
      </c>
      <c r="H185" s="275">
        <f t="shared" si="3"/>
        <v>3031584</v>
      </c>
      <c r="I185" s="171"/>
    </row>
    <row r="186" spans="1:9" s="16" customFormat="1" ht="20.100000000000001" customHeight="1">
      <c r="A186" s="171"/>
      <c r="B186" s="143"/>
      <c r="C186" s="143"/>
      <c r="D186" s="143"/>
      <c r="E186" s="160" t="s">
        <v>327</v>
      </c>
      <c r="F186" s="245">
        <f>SUM(F151:F185)</f>
        <v>94851249.409999996</v>
      </c>
      <c r="G186" s="266">
        <f>SUM(G151:G185)</f>
        <v>195340106.86000001</v>
      </c>
      <c r="H186" s="266">
        <f>SUM(H151:H185)</f>
        <v>100488857.45000002</v>
      </c>
      <c r="I186" s="171"/>
    </row>
    <row r="187" spans="1:9" s="16" customFormat="1" ht="20.100000000000001" customHeight="1">
      <c r="A187" s="171"/>
      <c r="B187" s="143"/>
      <c r="C187" s="143"/>
      <c r="D187" s="143"/>
      <c r="E187" s="144"/>
      <c r="F187" s="22"/>
      <c r="G187" s="264"/>
      <c r="H187" s="143"/>
      <c r="I187" s="171"/>
    </row>
    <row r="188" spans="1:9" s="16" customFormat="1" ht="20.100000000000001" customHeight="1">
      <c r="A188" s="171"/>
      <c r="B188" s="143"/>
      <c r="C188" s="143"/>
      <c r="D188" s="143"/>
      <c r="E188" s="160" t="s">
        <v>248</v>
      </c>
      <c r="F188" s="22"/>
      <c r="G188" s="264"/>
      <c r="H188" s="143"/>
      <c r="I188" s="171"/>
    </row>
    <row r="189" spans="1:9" s="16" customFormat="1" ht="20.100000000000001" customHeight="1">
      <c r="A189" s="171"/>
      <c r="B189" s="143">
        <v>173</v>
      </c>
      <c r="C189" s="143" t="s">
        <v>619</v>
      </c>
      <c r="D189" s="143" t="s">
        <v>620</v>
      </c>
      <c r="E189" s="144" t="s">
        <v>621</v>
      </c>
      <c r="F189" s="22">
        <v>880000</v>
      </c>
      <c r="G189" s="264">
        <v>1530760.58</v>
      </c>
      <c r="H189" s="275">
        <f>G189-F189</f>
        <v>650760.58000000007</v>
      </c>
      <c r="I189" s="171"/>
    </row>
    <row r="190" spans="1:9" s="16" customFormat="1" ht="20.100000000000001" customHeight="1">
      <c r="A190" s="171"/>
      <c r="B190" s="143">
        <v>174</v>
      </c>
      <c r="C190" s="143" t="s">
        <v>622</v>
      </c>
      <c r="D190" s="143" t="s">
        <v>623</v>
      </c>
      <c r="E190" s="144" t="s">
        <v>624</v>
      </c>
      <c r="F190" s="22">
        <v>110000</v>
      </c>
      <c r="G190" s="264">
        <v>510253.53</v>
      </c>
      <c r="H190" s="275">
        <f>G190-F190</f>
        <v>400253.53</v>
      </c>
      <c r="I190" s="171"/>
    </row>
    <row r="191" spans="1:9" s="16" customFormat="1" ht="20.100000000000001" customHeight="1">
      <c r="A191" s="171"/>
      <c r="B191" s="143"/>
      <c r="C191" s="143"/>
      <c r="D191" s="143"/>
      <c r="E191" s="160" t="s">
        <v>250</v>
      </c>
      <c r="F191" s="245">
        <f>SUM(F189:F190)</f>
        <v>990000</v>
      </c>
      <c r="G191" s="266">
        <f>SUM(G189:G190)</f>
        <v>2041014.11</v>
      </c>
      <c r="H191" s="266">
        <f>SUM(H189:H190)</f>
        <v>1051014.1100000001</v>
      </c>
      <c r="I191" s="171"/>
    </row>
    <row r="192" spans="1:9" s="16" customFormat="1" ht="20.100000000000001" customHeight="1">
      <c r="A192" s="171"/>
      <c r="B192" s="143"/>
      <c r="C192" s="143"/>
      <c r="D192" s="143"/>
      <c r="E192" s="144"/>
      <c r="F192" s="22"/>
      <c r="G192" s="264"/>
      <c r="H192" s="143"/>
      <c r="I192" s="171"/>
    </row>
    <row r="193" spans="1:9" s="16" customFormat="1" ht="20.100000000000001" customHeight="1">
      <c r="A193" s="171"/>
      <c r="B193" s="143"/>
      <c r="C193" s="143"/>
      <c r="D193" s="143"/>
      <c r="E193" s="160" t="s">
        <v>243</v>
      </c>
      <c r="F193" s="22"/>
      <c r="G193" s="264"/>
      <c r="H193" s="143"/>
      <c r="I193" s="171"/>
    </row>
    <row r="194" spans="1:9" s="16" customFormat="1" ht="20.100000000000001" customHeight="1">
      <c r="A194" s="171"/>
      <c r="B194" s="143">
        <v>175</v>
      </c>
      <c r="C194" s="143" t="s">
        <v>244</v>
      </c>
      <c r="D194" s="143" t="s">
        <v>245</v>
      </c>
      <c r="E194" s="144" t="s">
        <v>246</v>
      </c>
      <c r="F194" s="22">
        <v>5600000</v>
      </c>
      <c r="G194" s="264">
        <v>7205070.5099999998</v>
      </c>
      <c r="H194" s="275">
        <f>G194-F194</f>
        <v>1605070.5099999998</v>
      </c>
      <c r="I194" s="171"/>
    </row>
    <row r="195" spans="1:9" s="16" customFormat="1" ht="20.100000000000001" customHeight="1">
      <c r="A195" s="171"/>
      <c r="B195" s="143">
        <v>176</v>
      </c>
      <c r="C195" s="143" t="s">
        <v>625</v>
      </c>
      <c r="D195" s="143"/>
      <c r="E195" s="144" t="s">
        <v>626</v>
      </c>
      <c r="F195" s="22">
        <v>0</v>
      </c>
      <c r="G195" s="264">
        <v>10813765.73</v>
      </c>
      <c r="H195" s="275">
        <f t="shared" ref="H195:H198" si="4">G195-F195</f>
        <v>10813765.73</v>
      </c>
      <c r="I195" s="171"/>
    </row>
    <row r="196" spans="1:9" s="16" customFormat="1" ht="20.100000000000001" customHeight="1">
      <c r="A196" s="171"/>
      <c r="B196" s="143">
        <v>177</v>
      </c>
      <c r="C196" s="143" t="s">
        <v>625</v>
      </c>
      <c r="D196" s="143" t="s">
        <v>627</v>
      </c>
      <c r="E196" s="144" t="s">
        <v>628</v>
      </c>
      <c r="F196" s="22">
        <f>1350000+150500</f>
        <v>1500500</v>
      </c>
      <c r="G196" s="264">
        <v>5200000</v>
      </c>
      <c r="H196" s="275">
        <f t="shared" si="4"/>
        <v>3699500</v>
      </c>
      <c r="I196" s="171"/>
    </row>
    <row r="197" spans="1:9" s="16" customFormat="1" ht="20.100000000000001" customHeight="1">
      <c r="A197" s="171"/>
      <c r="B197" s="143">
        <v>178</v>
      </c>
      <c r="C197" s="274" t="s">
        <v>1986</v>
      </c>
      <c r="D197" s="143" t="s">
        <v>1489</v>
      </c>
      <c r="E197" s="144" t="s">
        <v>1490</v>
      </c>
      <c r="F197" s="22">
        <v>500000</v>
      </c>
      <c r="G197" s="264">
        <v>2000000</v>
      </c>
      <c r="H197" s="275">
        <f t="shared" si="4"/>
        <v>1500000</v>
      </c>
      <c r="I197" s="171"/>
    </row>
    <row r="198" spans="1:9" s="16" customFormat="1" ht="20.100000000000001" customHeight="1">
      <c r="A198" s="171"/>
      <c r="B198" s="143">
        <v>179</v>
      </c>
      <c r="C198" s="274" t="s">
        <v>1987</v>
      </c>
      <c r="D198" s="143" t="s">
        <v>1518</v>
      </c>
      <c r="E198" s="144" t="s">
        <v>1519</v>
      </c>
      <c r="F198" s="22">
        <v>600000</v>
      </c>
      <c r="G198" s="264">
        <v>2500000</v>
      </c>
      <c r="H198" s="275">
        <f t="shared" si="4"/>
        <v>1900000</v>
      </c>
      <c r="I198" s="171"/>
    </row>
    <row r="199" spans="1:9" s="16" customFormat="1" ht="20.100000000000001" customHeight="1">
      <c r="A199" s="171"/>
      <c r="B199" s="143"/>
      <c r="C199" s="143"/>
      <c r="D199" s="143"/>
      <c r="E199" s="160" t="s">
        <v>247</v>
      </c>
      <c r="F199" s="245">
        <f>SUM(F194:F198)</f>
        <v>8200500</v>
      </c>
      <c r="G199" s="266">
        <f>SUM(G194:G198)</f>
        <v>27718836.240000002</v>
      </c>
      <c r="H199" s="266">
        <f>SUM(H194:H197)</f>
        <v>17618336.240000002</v>
      </c>
      <c r="I199" s="171"/>
    </row>
    <row r="200" spans="1:9" s="16" customFormat="1" ht="20.100000000000001" customHeight="1">
      <c r="A200" s="171"/>
      <c r="B200" s="143"/>
      <c r="C200" s="143"/>
      <c r="D200" s="143"/>
      <c r="E200" s="160"/>
      <c r="F200" s="245"/>
      <c r="G200" s="266"/>
      <c r="H200" s="266"/>
      <c r="I200" s="171"/>
    </row>
    <row r="201" spans="1:9" s="16" customFormat="1" ht="20.100000000000001" customHeight="1">
      <c r="A201" s="171"/>
      <c r="B201" s="143"/>
      <c r="C201" s="143"/>
      <c r="D201" s="143"/>
      <c r="E201" s="311" t="s">
        <v>629</v>
      </c>
      <c r="F201" s="22"/>
      <c r="G201" s="264"/>
      <c r="H201" s="143"/>
      <c r="I201" s="171"/>
    </row>
    <row r="202" spans="1:9" s="16" customFormat="1" ht="20.100000000000001" customHeight="1">
      <c r="A202" s="171"/>
      <c r="B202" s="143"/>
      <c r="C202" s="143"/>
      <c r="D202" s="143"/>
      <c r="E202" s="311" t="s">
        <v>90</v>
      </c>
      <c r="F202" s="245">
        <f>F74</f>
        <v>2066692164.8600001</v>
      </c>
      <c r="G202" s="266">
        <f>G74</f>
        <v>2765574135.7500005</v>
      </c>
      <c r="H202" s="266">
        <f>H74</f>
        <v>698881970.88999999</v>
      </c>
      <c r="I202" s="171"/>
    </row>
    <row r="203" spans="1:9" s="16" customFormat="1" ht="20.100000000000001" customHeight="1">
      <c r="A203" s="171"/>
      <c r="B203" s="143"/>
      <c r="C203" s="143"/>
      <c r="D203" s="143"/>
      <c r="E203" s="311" t="s">
        <v>161</v>
      </c>
      <c r="F203" s="245">
        <f>F148</f>
        <v>349871866.13</v>
      </c>
      <c r="G203" s="266">
        <f>G148</f>
        <v>618068788.93999994</v>
      </c>
      <c r="H203" s="266">
        <f>H148</f>
        <v>268196922.80999997</v>
      </c>
      <c r="I203" s="171"/>
    </row>
    <row r="204" spans="1:9" s="16" customFormat="1" ht="20.100000000000001" customHeight="1">
      <c r="A204" s="171"/>
      <c r="B204" s="143"/>
      <c r="C204" s="143"/>
      <c r="D204" s="143"/>
      <c r="E204" s="311" t="s">
        <v>249</v>
      </c>
      <c r="F204" s="245">
        <f>F186</f>
        <v>94851249.409999996</v>
      </c>
      <c r="G204" s="266">
        <f>G186</f>
        <v>195340106.86000001</v>
      </c>
      <c r="H204" s="266">
        <f>H186</f>
        <v>100488857.45000002</v>
      </c>
      <c r="I204" s="171"/>
    </row>
    <row r="205" spans="1:9" s="16" customFormat="1" ht="20.100000000000001" customHeight="1">
      <c r="A205" s="171"/>
      <c r="B205" s="143"/>
      <c r="C205" s="143"/>
      <c r="D205" s="143"/>
      <c r="E205" s="160" t="s">
        <v>248</v>
      </c>
      <c r="F205" s="245">
        <f>F191</f>
        <v>990000</v>
      </c>
      <c r="G205" s="266">
        <f>G191</f>
        <v>2041014.11</v>
      </c>
      <c r="H205" s="266">
        <f>H191</f>
        <v>1051014.1100000001</v>
      </c>
      <c r="I205" s="171"/>
    </row>
    <row r="206" spans="1:9" s="16" customFormat="1" ht="20.100000000000001" customHeight="1">
      <c r="A206" s="171"/>
      <c r="B206" s="143"/>
      <c r="C206" s="143"/>
      <c r="D206" s="143"/>
      <c r="E206" s="160" t="s">
        <v>243</v>
      </c>
      <c r="F206" s="245">
        <f>F199</f>
        <v>8200500</v>
      </c>
      <c r="G206" s="266">
        <f>G199</f>
        <v>27718836.240000002</v>
      </c>
      <c r="H206" s="266">
        <f>H199</f>
        <v>17618336.240000002</v>
      </c>
      <c r="I206" s="171"/>
    </row>
    <row r="207" spans="1:9" s="16" customFormat="1" ht="21" customHeight="1">
      <c r="A207" s="171"/>
      <c r="B207" s="143"/>
      <c r="C207" s="143"/>
      <c r="D207" s="143"/>
      <c r="E207" s="311" t="s">
        <v>65</v>
      </c>
      <c r="F207" s="245">
        <f>SUM(F202:F206)</f>
        <v>2520605780.4000001</v>
      </c>
      <c r="G207" s="266">
        <f>SUM(G202:G206)</f>
        <v>3608742881.9000006</v>
      </c>
      <c r="H207" s="266">
        <f>SUM(H202:H206)</f>
        <v>1086237101.5</v>
      </c>
      <c r="I207" s="171"/>
    </row>
  </sheetData>
  <mergeCells count="4">
    <mergeCell ref="B1:H1"/>
    <mergeCell ref="B2:H2"/>
    <mergeCell ref="B3:H3"/>
    <mergeCell ref="B4:H4"/>
  </mergeCells>
  <pageMargins left="0.5" right="0.5" top="0.75" bottom="0.5" header="0.3" footer="0.5"/>
  <pageSetup paperSize="9" firstPageNumber="103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opLeftCell="A4" zoomScale="106" zoomScaleNormal="106" workbookViewId="0">
      <selection activeCell="F10" sqref="F10"/>
    </sheetView>
  </sheetViews>
  <sheetFormatPr defaultRowHeight="15"/>
  <cols>
    <col min="1" max="1" width="2.85546875" style="142" customWidth="1"/>
    <col min="2" max="2" width="5.85546875" style="191" customWidth="1"/>
    <col min="3" max="3" width="15.28515625" style="170" customWidth="1"/>
    <col min="4" max="4" width="11" style="170" customWidth="1"/>
    <col min="5" max="5" width="41.140625" style="360" customWidth="1"/>
    <col min="6" max="7" width="18.7109375" style="377" customWidth="1"/>
    <col min="8" max="8" width="18.7109375" style="170" customWidth="1"/>
    <col min="9" max="9" width="9.140625" style="142"/>
    <col min="10" max="16384" width="9.140625" style="115"/>
  </cols>
  <sheetData>
    <row r="1" spans="1:11" ht="21.95" hidden="1" customHeight="1">
      <c r="B1" s="599" t="s">
        <v>0</v>
      </c>
      <c r="C1" s="599"/>
      <c r="D1" s="599"/>
      <c r="E1" s="599"/>
      <c r="F1" s="599"/>
      <c r="G1" s="599"/>
      <c r="H1" s="599"/>
      <c r="I1" s="171"/>
      <c r="J1" s="16"/>
    </row>
    <row r="2" spans="1:11" ht="21.95" hidden="1" customHeight="1">
      <c r="B2" s="600" t="s">
        <v>1571</v>
      </c>
      <c r="C2" s="600"/>
      <c r="D2" s="600"/>
      <c r="E2" s="600"/>
      <c r="F2" s="600"/>
      <c r="G2" s="600"/>
      <c r="H2" s="600"/>
      <c r="I2" s="171"/>
      <c r="J2" s="16"/>
    </row>
    <row r="3" spans="1:11" ht="21.95" hidden="1" customHeight="1">
      <c r="B3" s="600" t="s">
        <v>336</v>
      </c>
      <c r="C3" s="600"/>
      <c r="D3" s="600"/>
      <c r="E3" s="600"/>
      <c r="F3" s="600"/>
      <c r="G3" s="600"/>
      <c r="H3" s="600"/>
      <c r="I3" s="298"/>
      <c r="J3" s="116"/>
      <c r="K3" s="116"/>
    </row>
    <row r="4" spans="1:11" ht="21.95" customHeight="1">
      <c r="B4" s="599" t="s">
        <v>2027</v>
      </c>
      <c r="C4" s="599"/>
      <c r="D4" s="599"/>
      <c r="E4" s="599"/>
      <c r="F4" s="599"/>
      <c r="G4" s="599"/>
      <c r="H4" s="599"/>
      <c r="I4" s="299"/>
      <c r="J4" s="117"/>
    </row>
    <row r="5" spans="1:11" ht="24" customHeight="1">
      <c r="B5" s="304" t="s">
        <v>87</v>
      </c>
      <c r="C5" s="304" t="s">
        <v>88</v>
      </c>
      <c r="D5" s="304" t="s">
        <v>89</v>
      </c>
      <c r="E5" s="305" t="s">
        <v>337</v>
      </c>
      <c r="F5" s="306" t="s">
        <v>92</v>
      </c>
      <c r="G5" s="304" t="s">
        <v>91</v>
      </c>
      <c r="H5" s="304" t="s">
        <v>93</v>
      </c>
    </row>
    <row r="6" spans="1:11" ht="20.100000000000001" customHeight="1">
      <c r="B6" s="141"/>
      <c r="C6" s="141"/>
      <c r="D6" s="141"/>
      <c r="E6" s="305"/>
      <c r="F6" s="182" t="s">
        <v>1458</v>
      </c>
      <c r="G6" s="182" t="s">
        <v>1458</v>
      </c>
      <c r="H6" s="182" t="s">
        <v>1458</v>
      </c>
    </row>
    <row r="7" spans="1:11" ht="20.100000000000001" customHeight="1">
      <c r="B7" s="141"/>
      <c r="C7" s="141"/>
      <c r="D7" s="141"/>
      <c r="E7" s="311" t="s">
        <v>90</v>
      </c>
      <c r="F7" s="372"/>
      <c r="G7" s="372"/>
      <c r="H7" s="242"/>
    </row>
    <row r="8" spans="1:11" ht="20.100000000000001" customHeight="1">
      <c r="B8" s="143">
        <v>1</v>
      </c>
      <c r="C8" s="56" t="s">
        <v>143</v>
      </c>
      <c r="D8" s="31" t="s">
        <v>144</v>
      </c>
      <c r="E8" s="312" t="s">
        <v>630</v>
      </c>
      <c r="F8" s="163">
        <v>66317100</v>
      </c>
      <c r="G8" s="163">
        <v>157340000</v>
      </c>
      <c r="H8" s="162">
        <f>G8-F8</f>
        <v>91022900</v>
      </c>
    </row>
    <row r="9" spans="1:11" ht="20.100000000000001" customHeight="1">
      <c r="B9" s="143">
        <v>2</v>
      </c>
      <c r="C9" s="58" t="s">
        <v>409</v>
      </c>
      <c r="D9" s="31" t="s">
        <v>410</v>
      </c>
      <c r="E9" s="312" t="s">
        <v>631</v>
      </c>
      <c r="F9" s="163">
        <v>0</v>
      </c>
      <c r="G9" s="163">
        <v>20669483.620000001</v>
      </c>
      <c r="H9" s="162">
        <f t="shared" ref="H9:H53" si="0">G9-F9</f>
        <v>20669483.620000001</v>
      </c>
    </row>
    <row r="10" spans="1:11" s="4" customFormat="1" ht="20.100000000000001" customHeight="1">
      <c r="A10" s="204"/>
      <c r="B10" s="143">
        <v>3</v>
      </c>
      <c r="C10" s="58" t="s">
        <v>137</v>
      </c>
      <c r="D10" s="31" t="s">
        <v>138</v>
      </c>
      <c r="E10" s="316" t="s">
        <v>632</v>
      </c>
      <c r="F10" s="373">
        <v>0</v>
      </c>
      <c r="G10" s="373">
        <v>20441502.489999998</v>
      </c>
      <c r="H10" s="162">
        <f t="shared" si="0"/>
        <v>20441502.489999998</v>
      </c>
      <c r="I10" s="204"/>
    </row>
    <row r="11" spans="1:11" s="26" customFormat="1" ht="20.100000000000001" customHeight="1">
      <c r="A11" s="263"/>
      <c r="B11" s="143">
        <v>4</v>
      </c>
      <c r="C11" s="58" t="s">
        <v>338</v>
      </c>
      <c r="D11" s="31" t="s">
        <v>94</v>
      </c>
      <c r="E11" s="316" t="s">
        <v>633</v>
      </c>
      <c r="F11" s="373">
        <f>40000+187522500</f>
        <v>187562500</v>
      </c>
      <c r="G11" s="373">
        <v>338754232.63999999</v>
      </c>
      <c r="H11" s="162">
        <f t="shared" si="0"/>
        <v>151191732.63999999</v>
      </c>
      <c r="I11" s="263"/>
    </row>
    <row r="12" spans="1:11" s="26" customFormat="1" ht="20.100000000000001" customHeight="1">
      <c r="A12" s="263"/>
      <c r="B12" s="143">
        <v>5</v>
      </c>
      <c r="C12" s="59" t="s">
        <v>105</v>
      </c>
      <c r="D12" s="31" t="s">
        <v>106</v>
      </c>
      <c r="E12" s="316" t="s">
        <v>634</v>
      </c>
      <c r="F12" s="373">
        <f>88281314.98+345472308.87</f>
        <v>433753623.85000002</v>
      </c>
      <c r="G12" s="373">
        <v>1110389672.3499999</v>
      </c>
      <c r="H12" s="162">
        <f t="shared" si="0"/>
        <v>676636048.49999988</v>
      </c>
      <c r="I12" s="263"/>
    </row>
    <row r="13" spans="1:11" s="27" customFormat="1" ht="20.100000000000001" customHeight="1">
      <c r="A13" s="265"/>
      <c r="B13" s="143">
        <v>6</v>
      </c>
      <c r="C13" s="58" t="s">
        <v>102</v>
      </c>
      <c r="D13" s="31" t="s">
        <v>103</v>
      </c>
      <c r="E13" s="316" t="s">
        <v>635</v>
      </c>
      <c r="F13" s="373">
        <v>11500000</v>
      </c>
      <c r="G13" s="373">
        <v>20000000</v>
      </c>
      <c r="H13" s="162">
        <f t="shared" si="0"/>
        <v>8500000</v>
      </c>
      <c r="I13" s="265"/>
    </row>
    <row r="14" spans="1:11" s="27" customFormat="1" ht="20.100000000000001" customHeight="1">
      <c r="A14" s="265"/>
      <c r="B14" s="143">
        <v>7</v>
      </c>
      <c r="C14" s="59" t="s">
        <v>134</v>
      </c>
      <c r="D14" s="31" t="s">
        <v>135</v>
      </c>
      <c r="E14" s="316" t="s">
        <v>136</v>
      </c>
      <c r="F14" s="373">
        <v>23000078</v>
      </c>
      <c r="G14" s="373">
        <v>221775662.59</v>
      </c>
      <c r="H14" s="162">
        <f t="shared" si="0"/>
        <v>198775584.59</v>
      </c>
      <c r="I14" s="265"/>
    </row>
    <row r="15" spans="1:11" s="27" customFormat="1" ht="20.100000000000001" customHeight="1">
      <c r="A15" s="265"/>
      <c r="B15" s="143">
        <v>8</v>
      </c>
      <c r="C15" s="58" t="s">
        <v>146</v>
      </c>
      <c r="D15" s="31" t="s">
        <v>147</v>
      </c>
      <c r="E15" s="316" t="s">
        <v>636</v>
      </c>
      <c r="F15" s="373">
        <v>2462500</v>
      </c>
      <c r="G15" s="373">
        <v>20000000</v>
      </c>
      <c r="H15" s="162">
        <f t="shared" si="0"/>
        <v>17537500</v>
      </c>
      <c r="I15" s="265"/>
    </row>
    <row r="16" spans="1:11" s="27" customFormat="1" ht="20.100000000000001" customHeight="1">
      <c r="A16" s="265"/>
      <c r="B16" s="143">
        <v>9</v>
      </c>
      <c r="C16" s="175" t="s">
        <v>448</v>
      </c>
      <c r="D16" s="31" t="s">
        <v>149</v>
      </c>
      <c r="E16" s="316" t="s">
        <v>637</v>
      </c>
      <c r="F16" s="373">
        <v>340000</v>
      </c>
      <c r="G16" s="373">
        <v>5000000</v>
      </c>
      <c r="H16" s="162">
        <f t="shared" si="0"/>
        <v>4660000</v>
      </c>
      <c r="I16" s="265"/>
    </row>
    <row r="17" spans="1:9" s="27" customFormat="1" ht="20.100000000000001" customHeight="1">
      <c r="A17" s="265"/>
      <c r="B17" s="143">
        <v>10</v>
      </c>
      <c r="C17" s="58" t="s">
        <v>119</v>
      </c>
      <c r="D17" s="31" t="s">
        <v>120</v>
      </c>
      <c r="E17" s="316" t="s">
        <v>638</v>
      </c>
      <c r="F17" s="373">
        <v>0</v>
      </c>
      <c r="G17" s="373">
        <v>20000000</v>
      </c>
      <c r="H17" s="162">
        <f t="shared" si="0"/>
        <v>20000000</v>
      </c>
      <c r="I17" s="265"/>
    </row>
    <row r="18" spans="1:9" s="27" customFormat="1" ht="20.100000000000001" customHeight="1">
      <c r="A18" s="265"/>
      <c r="B18" s="143">
        <v>11</v>
      </c>
      <c r="C18" s="58" t="s">
        <v>116</v>
      </c>
      <c r="D18" s="31" t="s">
        <v>117</v>
      </c>
      <c r="E18" s="316" t="s">
        <v>639</v>
      </c>
      <c r="F18" s="373">
        <v>0</v>
      </c>
      <c r="G18" s="373">
        <v>20000000</v>
      </c>
      <c r="H18" s="162">
        <f t="shared" si="0"/>
        <v>20000000</v>
      </c>
      <c r="I18" s="265"/>
    </row>
    <row r="19" spans="1:9" s="27" customFormat="1" ht="20.100000000000001" customHeight="1">
      <c r="A19" s="265"/>
      <c r="B19" s="143">
        <v>12</v>
      </c>
      <c r="C19" s="58" t="s">
        <v>151</v>
      </c>
      <c r="D19" s="31" t="s">
        <v>152</v>
      </c>
      <c r="E19" s="316" t="s">
        <v>153</v>
      </c>
      <c r="F19" s="373">
        <v>5100000</v>
      </c>
      <c r="G19" s="373">
        <v>6000000</v>
      </c>
      <c r="H19" s="162">
        <f t="shared" si="0"/>
        <v>900000</v>
      </c>
      <c r="I19" s="265"/>
    </row>
    <row r="20" spans="1:9" s="27" customFormat="1" ht="20.100000000000001" customHeight="1">
      <c r="A20" s="265"/>
      <c r="B20" s="143">
        <v>13</v>
      </c>
      <c r="C20" s="58" t="s">
        <v>383</v>
      </c>
      <c r="D20" s="31" t="s">
        <v>384</v>
      </c>
      <c r="E20" s="316" t="s">
        <v>628</v>
      </c>
      <c r="F20" s="373">
        <v>0</v>
      </c>
      <c r="G20" s="373">
        <v>10000000</v>
      </c>
      <c r="H20" s="162">
        <f t="shared" si="0"/>
        <v>10000000</v>
      </c>
      <c r="I20" s="265"/>
    </row>
    <row r="21" spans="1:9" s="27" customFormat="1" ht="20.100000000000001" customHeight="1">
      <c r="A21" s="265"/>
      <c r="B21" s="143"/>
      <c r="C21" s="31"/>
      <c r="D21" s="31"/>
      <c r="E21" s="311" t="s">
        <v>160</v>
      </c>
      <c r="F21" s="374">
        <f>SUM(F8:F20)</f>
        <v>730035801.85000002</v>
      </c>
      <c r="G21" s="374">
        <f>SUM(G8:G20)</f>
        <v>1970370553.6899998</v>
      </c>
      <c r="H21" s="162">
        <f t="shared" si="0"/>
        <v>1240334751.8399997</v>
      </c>
      <c r="I21" s="265"/>
    </row>
    <row r="22" spans="1:9" ht="20.100000000000001" customHeight="1">
      <c r="B22" s="143"/>
      <c r="C22" s="368"/>
      <c r="D22" s="368"/>
      <c r="E22" s="371" t="s">
        <v>161</v>
      </c>
      <c r="F22" s="306"/>
      <c r="G22" s="306"/>
      <c r="H22" s="162"/>
    </row>
    <row r="23" spans="1:9" ht="20.100000000000001" customHeight="1">
      <c r="B23" s="143">
        <v>14</v>
      </c>
      <c r="C23" s="368">
        <v>23600400200</v>
      </c>
      <c r="D23" s="368"/>
      <c r="E23" s="144" t="s">
        <v>640</v>
      </c>
      <c r="F23" s="346"/>
      <c r="G23" s="346">
        <v>5000000</v>
      </c>
      <c r="H23" s="162">
        <f t="shared" si="0"/>
        <v>5000000</v>
      </c>
    </row>
    <row r="24" spans="1:9" ht="20.100000000000001" customHeight="1">
      <c r="B24" s="143">
        <v>15</v>
      </c>
      <c r="C24" s="368" t="s">
        <v>174</v>
      </c>
      <c r="D24" s="368" t="s">
        <v>175</v>
      </c>
      <c r="E24" s="312" t="s">
        <v>641</v>
      </c>
      <c r="F24" s="163">
        <f>6585946654.33</f>
        <v>6585946654.3299999</v>
      </c>
      <c r="G24" s="163">
        <v>6606674892.0799999</v>
      </c>
      <c r="H24" s="162">
        <f t="shared" si="0"/>
        <v>20728237.75</v>
      </c>
    </row>
    <row r="25" spans="1:9" ht="20.100000000000001" customHeight="1">
      <c r="B25" s="143">
        <v>16</v>
      </c>
      <c r="C25" s="143" t="s">
        <v>186</v>
      </c>
      <c r="D25" s="143" t="s">
        <v>527</v>
      </c>
      <c r="E25" s="144" t="s">
        <v>528</v>
      </c>
      <c r="F25" s="346">
        <v>0</v>
      </c>
      <c r="G25" s="346">
        <v>0</v>
      </c>
      <c r="H25" s="162">
        <f t="shared" si="0"/>
        <v>0</v>
      </c>
    </row>
    <row r="26" spans="1:9" ht="20.100000000000001" customHeight="1">
      <c r="B26" s="143">
        <v>17</v>
      </c>
      <c r="C26" s="143" t="s">
        <v>501</v>
      </c>
      <c r="D26" s="143" t="s">
        <v>502</v>
      </c>
      <c r="E26" s="144" t="s">
        <v>503</v>
      </c>
      <c r="F26" s="346">
        <v>39045000</v>
      </c>
      <c r="G26" s="346">
        <v>87092991</v>
      </c>
      <c r="H26" s="162">
        <f t="shared" si="0"/>
        <v>48047991</v>
      </c>
    </row>
    <row r="27" spans="1:9" ht="20.100000000000001" customHeight="1">
      <c r="B27" s="143">
        <v>18</v>
      </c>
      <c r="C27" s="143" t="s">
        <v>192</v>
      </c>
      <c r="D27" s="143" t="s">
        <v>193</v>
      </c>
      <c r="E27" s="144" t="s">
        <v>642</v>
      </c>
      <c r="F27" s="346">
        <v>0</v>
      </c>
      <c r="G27" s="346">
        <v>5669483.6200000001</v>
      </c>
      <c r="H27" s="162">
        <f t="shared" si="0"/>
        <v>5669483.6200000001</v>
      </c>
    </row>
    <row r="28" spans="1:9" ht="20.100000000000001" customHeight="1">
      <c r="B28" s="143">
        <v>19</v>
      </c>
      <c r="C28" s="143" t="s">
        <v>541</v>
      </c>
      <c r="D28" s="143" t="s">
        <v>643</v>
      </c>
      <c r="E28" s="144" t="s">
        <v>644</v>
      </c>
      <c r="F28" s="346">
        <v>6000000</v>
      </c>
      <c r="G28" s="346">
        <v>8656521.6400000006</v>
      </c>
      <c r="H28" s="162">
        <f t="shared" si="0"/>
        <v>2656521.6400000006</v>
      </c>
    </row>
    <row r="29" spans="1:9" ht="20.100000000000001" customHeight="1">
      <c r="B29" s="143">
        <v>20</v>
      </c>
      <c r="C29" s="143" t="s">
        <v>215</v>
      </c>
      <c r="D29" s="143" t="s">
        <v>216</v>
      </c>
      <c r="E29" s="144" t="s">
        <v>645</v>
      </c>
      <c r="F29" s="346">
        <v>53244350</v>
      </c>
      <c r="G29" s="346">
        <v>75009983.620000005</v>
      </c>
      <c r="H29" s="162">
        <f t="shared" si="0"/>
        <v>21765633.620000005</v>
      </c>
    </row>
    <row r="30" spans="1:9" ht="20.100000000000001" customHeight="1">
      <c r="B30" s="143">
        <v>21</v>
      </c>
      <c r="C30" s="143" t="s">
        <v>545</v>
      </c>
      <c r="D30" s="143" t="s">
        <v>546</v>
      </c>
      <c r="E30" s="144" t="s">
        <v>547</v>
      </c>
      <c r="F30" s="346">
        <v>19575000</v>
      </c>
      <c r="G30" s="346">
        <v>40000000</v>
      </c>
      <c r="H30" s="162">
        <f t="shared" si="0"/>
        <v>20425000</v>
      </c>
    </row>
    <row r="31" spans="1:9" ht="20.100000000000001" customHeight="1">
      <c r="B31" s="143">
        <v>22</v>
      </c>
      <c r="C31" s="143" t="s">
        <v>218</v>
      </c>
      <c r="D31" s="143" t="s">
        <v>219</v>
      </c>
      <c r="E31" s="144" t="s">
        <v>220</v>
      </c>
      <c r="F31" s="346">
        <v>0</v>
      </c>
      <c r="G31" s="346">
        <v>10000000</v>
      </c>
      <c r="H31" s="162">
        <f t="shared" si="0"/>
        <v>10000000</v>
      </c>
    </row>
    <row r="32" spans="1:9" ht="20.100000000000001" customHeight="1">
      <c r="B32" s="143">
        <v>23</v>
      </c>
      <c r="C32" s="143" t="s">
        <v>221</v>
      </c>
      <c r="D32" s="143" t="s">
        <v>222</v>
      </c>
      <c r="E32" s="144" t="s">
        <v>646</v>
      </c>
      <c r="F32" s="346">
        <v>50000000</v>
      </c>
      <c r="G32" s="346">
        <v>100000000</v>
      </c>
      <c r="H32" s="162">
        <f t="shared" si="0"/>
        <v>50000000</v>
      </c>
    </row>
    <row r="33" spans="1:9" ht="20.100000000000001" customHeight="1">
      <c r="B33" s="143">
        <v>24</v>
      </c>
      <c r="C33" s="274" t="s">
        <v>227</v>
      </c>
      <c r="D33" s="143" t="s">
        <v>647</v>
      </c>
      <c r="E33" s="144" t="s">
        <v>648</v>
      </c>
      <c r="F33" s="346">
        <v>13200000</v>
      </c>
      <c r="G33" s="346">
        <v>16600000</v>
      </c>
      <c r="H33" s="162">
        <f t="shared" si="0"/>
        <v>3400000</v>
      </c>
    </row>
    <row r="34" spans="1:9" ht="20.100000000000001" customHeight="1">
      <c r="B34" s="143"/>
      <c r="C34" s="143"/>
      <c r="D34" s="143"/>
      <c r="E34" s="160" t="s">
        <v>588</v>
      </c>
      <c r="F34" s="161">
        <f>SUM(F23:F33)</f>
        <v>6767011004.3299999</v>
      </c>
      <c r="G34" s="161">
        <f>SUM(G23:G33)</f>
        <v>6954703871.96</v>
      </c>
      <c r="H34" s="162">
        <f t="shared" si="0"/>
        <v>187692867.63000011</v>
      </c>
    </row>
    <row r="35" spans="1:9" ht="20.100000000000001" customHeight="1">
      <c r="B35" s="143"/>
      <c r="C35" s="143"/>
      <c r="D35" s="143"/>
      <c r="E35" s="160" t="s">
        <v>249</v>
      </c>
      <c r="F35" s="161"/>
      <c r="G35" s="161"/>
      <c r="H35" s="162"/>
    </row>
    <row r="36" spans="1:9" ht="20.100000000000001" customHeight="1">
      <c r="B36" s="143">
        <v>25</v>
      </c>
      <c r="C36" s="143" t="s">
        <v>260</v>
      </c>
      <c r="D36" s="143" t="s">
        <v>261</v>
      </c>
      <c r="E36" s="375" t="s">
        <v>649</v>
      </c>
      <c r="F36" s="376">
        <f>1523171637.4+250000000</f>
        <v>1773171637.4000001</v>
      </c>
      <c r="G36" s="376">
        <v>1832479846.78</v>
      </c>
      <c r="H36" s="162">
        <f t="shared" si="0"/>
        <v>59308209.379999876</v>
      </c>
    </row>
    <row r="37" spans="1:9" ht="20.100000000000001" customHeight="1">
      <c r="B37" s="143">
        <v>26</v>
      </c>
      <c r="C37" s="143" t="s">
        <v>280</v>
      </c>
      <c r="D37" s="143" t="s">
        <v>285</v>
      </c>
      <c r="E37" s="144" t="s">
        <v>650</v>
      </c>
      <c r="F37" s="346">
        <v>9123750</v>
      </c>
      <c r="G37" s="346">
        <v>60000000</v>
      </c>
      <c r="H37" s="162">
        <f t="shared" si="0"/>
        <v>50876250</v>
      </c>
    </row>
    <row r="38" spans="1:9" ht="20.100000000000001" customHeight="1">
      <c r="B38" s="143">
        <v>27</v>
      </c>
      <c r="C38" s="143" t="s">
        <v>287</v>
      </c>
      <c r="D38" s="143" t="s">
        <v>288</v>
      </c>
      <c r="E38" s="144" t="s">
        <v>289</v>
      </c>
      <c r="F38" s="346">
        <v>0</v>
      </c>
      <c r="G38" s="346">
        <v>35169483.619999997</v>
      </c>
      <c r="H38" s="162">
        <f t="shared" si="0"/>
        <v>35169483.619999997</v>
      </c>
    </row>
    <row r="39" spans="1:9" ht="20.100000000000001" customHeight="1">
      <c r="B39" s="143">
        <v>28</v>
      </c>
      <c r="C39" s="143" t="s">
        <v>299</v>
      </c>
      <c r="D39" s="143" t="s">
        <v>300</v>
      </c>
      <c r="E39" s="144" t="s">
        <v>651</v>
      </c>
      <c r="F39" s="346">
        <v>60000000</v>
      </c>
      <c r="G39" s="346">
        <v>80000000</v>
      </c>
      <c r="H39" s="162">
        <f t="shared" si="0"/>
        <v>20000000</v>
      </c>
    </row>
    <row r="40" spans="1:9" ht="20.100000000000001" customHeight="1">
      <c r="B40" s="143">
        <v>29</v>
      </c>
      <c r="C40" s="143" t="s">
        <v>293</v>
      </c>
      <c r="D40" s="143" t="s">
        <v>294</v>
      </c>
      <c r="E40" s="144" t="s">
        <v>652</v>
      </c>
      <c r="F40" s="346">
        <f>226381145+850000</f>
        <v>227231145</v>
      </c>
      <c r="G40" s="346">
        <v>353577500</v>
      </c>
      <c r="H40" s="162">
        <f t="shared" si="0"/>
        <v>126346355</v>
      </c>
    </row>
    <row r="41" spans="1:9" ht="20.100000000000001" customHeight="1">
      <c r="B41" s="143">
        <v>30</v>
      </c>
      <c r="C41" s="143" t="s">
        <v>311</v>
      </c>
      <c r="D41" s="143" t="s">
        <v>312</v>
      </c>
      <c r="E41" s="144" t="s">
        <v>653</v>
      </c>
      <c r="F41" s="346">
        <v>19050000</v>
      </c>
      <c r="G41" s="346">
        <v>25000000</v>
      </c>
      <c r="H41" s="162">
        <f t="shared" si="0"/>
        <v>5950000</v>
      </c>
    </row>
    <row r="42" spans="1:9" ht="20.100000000000001" customHeight="1">
      <c r="B42" s="143">
        <v>31</v>
      </c>
      <c r="C42" s="143" t="s">
        <v>317</v>
      </c>
      <c r="D42" s="143" t="s">
        <v>318</v>
      </c>
      <c r="E42" s="144" t="s">
        <v>654</v>
      </c>
      <c r="F42" s="346">
        <v>115945500</v>
      </c>
      <c r="G42" s="346">
        <v>119556000</v>
      </c>
      <c r="H42" s="162">
        <f t="shared" si="0"/>
        <v>3610500</v>
      </c>
    </row>
    <row r="43" spans="1:9" ht="20.100000000000001" customHeight="1">
      <c r="B43" s="143">
        <v>32</v>
      </c>
      <c r="C43" s="143" t="s">
        <v>251</v>
      </c>
      <c r="D43" s="143" t="s">
        <v>252</v>
      </c>
      <c r="E43" s="144" t="s">
        <v>655</v>
      </c>
      <c r="F43" s="346">
        <v>52334875</v>
      </c>
      <c r="G43" s="346">
        <v>130789000</v>
      </c>
      <c r="H43" s="162">
        <f t="shared" si="0"/>
        <v>78454125</v>
      </c>
    </row>
    <row r="44" spans="1:9" ht="20.100000000000001" customHeight="1">
      <c r="B44" s="143">
        <v>33</v>
      </c>
      <c r="C44" s="143" t="s">
        <v>589</v>
      </c>
      <c r="D44" s="143" t="s">
        <v>590</v>
      </c>
      <c r="E44" s="144" t="s">
        <v>592</v>
      </c>
      <c r="F44" s="346">
        <v>4200000</v>
      </c>
      <c r="G44" s="346">
        <v>12699100</v>
      </c>
      <c r="H44" s="162">
        <f t="shared" si="0"/>
        <v>8499100</v>
      </c>
    </row>
    <row r="45" spans="1:9" ht="20.100000000000001" customHeight="1">
      <c r="B45" s="143">
        <v>34</v>
      </c>
      <c r="C45" s="143" t="s">
        <v>323</v>
      </c>
      <c r="D45" s="143" t="s">
        <v>321</v>
      </c>
      <c r="E45" s="144" t="s">
        <v>656</v>
      </c>
      <c r="F45" s="346">
        <v>3000000</v>
      </c>
      <c r="G45" s="346">
        <v>19691050.5</v>
      </c>
      <c r="H45" s="162">
        <f t="shared" si="0"/>
        <v>16691050.5</v>
      </c>
    </row>
    <row r="46" spans="1:9" ht="20.100000000000001" customHeight="1">
      <c r="B46" s="143">
        <v>35</v>
      </c>
      <c r="C46" s="143" t="s">
        <v>271</v>
      </c>
      <c r="D46" s="143" t="s">
        <v>272</v>
      </c>
      <c r="E46" s="144" t="s">
        <v>657</v>
      </c>
      <c r="F46" s="346">
        <v>0</v>
      </c>
      <c r="G46" s="346">
        <v>2000000</v>
      </c>
      <c r="H46" s="162">
        <f t="shared" si="0"/>
        <v>2000000</v>
      </c>
    </row>
    <row r="47" spans="1:9" ht="20.100000000000001" customHeight="1">
      <c r="B47" s="143"/>
      <c r="C47" s="143"/>
      <c r="D47" s="143"/>
      <c r="E47" s="160" t="s">
        <v>327</v>
      </c>
      <c r="F47" s="161">
        <f>SUM(F36:F46)</f>
        <v>2264056907.4000001</v>
      </c>
      <c r="G47" s="161">
        <f>SUM(G36:G46)</f>
        <v>2670961980.8999996</v>
      </c>
      <c r="H47" s="162">
        <f t="shared" si="0"/>
        <v>406905073.49999952</v>
      </c>
    </row>
    <row r="48" spans="1:9" s="174" customFormat="1" ht="20.100000000000001" customHeight="1">
      <c r="A48" s="142"/>
      <c r="B48" s="143"/>
      <c r="C48" s="143"/>
      <c r="D48" s="143"/>
      <c r="E48" s="160"/>
      <c r="F48" s="161"/>
      <c r="G48" s="161"/>
      <c r="H48" s="162"/>
      <c r="I48" s="142"/>
    </row>
    <row r="49" spans="2:8" ht="20.100000000000001" customHeight="1">
      <c r="B49" s="143"/>
      <c r="C49" s="143"/>
      <c r="D49" s="143"/>
      <c r="E49" s="160" t="s">
        <v>248</v>
      </c>
      <c r="F49" s="161"/>
      <c r="G49" s="161"/>
      <c r="H49" s="162"/>
    </row>
    <row r="50" spans="2:8" ht="20.100000000000001" customHeight="1">
      <c r="B50" s="143">
        <v>36</v>
      </c>
      <c r="C50" s="143" t="s">
        <v>619</v>
      </c>
      <c r="D50" s="143" t="s">
        <v>620</v>
      </c>
      <c r="E50" s="144" t="s">
        <v>621</v>
      </c>
      <c r="F50" s="346">
        <v>0</v>
      </c>
      <c r="G50" s="346">
        <v>0</v>
      </c>
      <c r="H50" s="162">
        <f t="shared" si="0"/>
        <v>0</v>
      </c>
    </row>
    <row r="51" spans="2:8" ht="20.100000000000001" customHeight="1">
      <c r="B51" s="143"/>
      <c r="C51" s="143"/>
      <c r="D51" s="143"/>
      <c r="E51" s="160" t="s">
        <v>250</v>
      </c>
      <c r="F51" s="161">
        <f>SUM(F50)</f>
        <v>0</v>
      </c>
      <c r="G51" s="161">
        <f>SUM(G50)</f>
        <v>0</v>
      </c>
      <c r="H51" s="162">
        <f t="shared" si="0"/>
        <v>0</v>
      </c>
    </row>
    <row r="52" spans="2:8" ht="20.100000000000001" customHeight="1">
      <c r="B52" s="143"/>
      <c r="C52" s="143"/>
      <c r="D52" s="143"/>
      <c r="E52" s="160" t="s">
        <v>243</v>
      </c>
      <c r="F52" s="161"/>
      <c r="G52" s="161"/>
      <c r="H52" s="162"/>
    </row>
    <row r="53" spans="2:8" ht="20.100000000000001" customHeight="1">
      <c r="B53" s="143">
        <v>37</v>
      </c>
      <c r="C53" s="143"/>
      <c r="D53" s="143">
        <v>433125</v>
      </c>
      <c r="E53" s="144" t="s">
        <v>658</v>
      </c>
      <c r="F53" s="346">
        <v>365595500</v>
      </c>
      <c r="G53" s="346">
        <v>590423496.94000006</v>
      </c>
      <c r="H53" s="162">
        <f t="shared" si="0"/>
        <v>224827996.94000006</v>
      </c>
    </row>
    <row r="54" spans="2:8" ht="20.100000000000001" customHeight="1">
      <c r="B54" s="143"/>
      <c r="C54" s="143"/>
      <c r="D54" s="143"/>
      <c r="E54" s="311" t="s">
        <v>247</v>
      </c>
      <c r="F54" s="372">
        <f>SUM(F53)</f>
        <v>365595500</v>
      </c>
      <c r="G54" s="372">
        <f>SUM(G53)</f>
        <v>590423496.94000006</v>
      </c>
      <c r="H54" s="372">
        <f>SUM(H53)</f>
        <v>224827996.94000006</v>
      </c>
    </row>
    <row r="55" spans="2:8" ht="20.100000000000001" customHeight="1">
      <c r="B55" s="143"/>
      <c r="C55" s="143"/>
      <c r="D55" s="143"/>
      <c r="E55" s="144"/>
      <c r="F55" s="346"/>
      <c r="G55" s="346"/>
      <c r="H55" s="143"/>
    </row>
    <row r="56" spans="2:8" ht="20.100000000000001" customHeight="1">
      <c r="B56" s="143"/>
      <c r="C56" s="143"/>
      <c r="D56" s="143"/>
      <c r="E56" s="311" t="s">
        <v>629</v>
      </c>
      <c r="F56" s="372"/>
      <c r="G56" s="372"/>
      <c r="H56" s="143"/>
    </row>
    <row r="57" spans="2:8" ht="20.100000000000001" customHeight="1">
      <c r="B57" s="143"/>
      <c r="C57" s="143"/>
      <c r="D57" s="143"/>
      <c r="E57" s="311" t="s">
        <v>90</v>
      </c>
      <c r="F57" s="372">
        <f>F21</f>
        <v>730035801.85000002</v>
      </c>
      <c r="G57" s="372">
        <f>G21</f>
        <v>1970370553.6899998</v>
      </c>
      <c r="H57" s="266">
        <f>H21</f>
        <v>1240334751.8399997</v>
      </c>
    </row>
    <row r="58" spans="2:8" ht="20.100000000000001" customHeight="1">
      <c r="B58" s="143"/>
      <c r="C58" s="143"/>
      <c r="D58" s="143"/>
      <c r="E58" s="311" t="s">
        <v>161</v>
      </c>
      <c r="F58" s="372">
        <f>F34</f>
        <v>6767011004.3299999</v>
      </c>
      <c r="G58" s="372">
        <f>G34</f>
        <v>6954703871.96</v>
      </c>
      <c r="H58" s="266">
        <f>H34</f>
        <v>187692867.63000011</v>
      </c>
    </row>
    <row r="59" spans="2:8" ht="20.100000000000001" customHeight="1">
      <c r="B59" s="143"/>
      <c r="C59" s="143"/>
      <c r="D59" s="143"/>
      <c r="E59" s="311" t="s">
        <v>249</v>
      </c>
      <c r="F59" s="372">
        <f>F47</f>
        <v>2264056907.4000001</v>
      </c>
      <c r="G59" s="372">
        <f>G47</f>
        <v>2670961980.8999996</v>
      </c>
      <c r="H59" s="266">
        <f>H47</f>
        <v>406905073.49999952</v>
      </c>
    </row>
    <row r="60" spans="2:8" ht="20.100000000000001" customHeight="1">
      <c r="B60" s="143"/>
      <c r="C60" s="143"/>
      <c r="D60" s="143"/>
      <c r="E60" s="160" t="s">
        <v>248</v>
      </c>
      <c r="F60" s="161">
        <f>F51</f>
        <v>0</v>
      </c>
      <c r="G60" s="161">
        <f>G51</f>
        <v>0</v>
      </c>
      <c r="H60" s="266">
        <f>H51</f>
        <v>0</v>
      </c>
    </row>
    <row r="61" spans="2:8" ht="20.100000000000001" customHeight="1">
      <c r="B61" s="143"/>
      <c r="C61" s="143"/>
      <c r="D61" s="143"/>
      <c r="E61" s="160" t="s">
        <v>243</v>
      </c>
      <c r="F61" s="161">
        <f>F54</f>
        <v>365595500</v>
      </c>
      <c r="G61" s="161">
        <f>G54</f>
        <v>590423496.94000006</v>
      </c>
      <c r="H61" s="266">
        <f>H54</f>
        <v>224827996.94000006</v>
      </c>
    </row>
    <row r="62" spans="2:8" ht="20.100000000000001" customHeight="1">
      <c r="B62" s="143"/>
      <c r="C62" s="143"/>
      <c r="D62" s="143"/>
      <c r="E62" s="311" t="s">
        <v>65</v>
      </c>
      <c r="F62" s="372">
        <f>SUM(F57:F61)</f>
        <v>10126699213.58</v>
      </c>
      <c r="G62" s="372">
        <f>SUM(G57:G61)</f>
        <v>12186459903.49</v>
      </c>
      <c r="H62" s="372">
        <f>SUM(H57:H61)</f>
        <v>2059760689.9099994</v>
      </c>
    </row>
    <row r="63" spans="2:8" ht="20.100000000000001" customHeight="1"/>
    <row r="64" spans="2:8" ht="20.100000000000001" customHeight="1">
      <c r="B64" s="185"/>
      <c r="C64" s="143"/>
      <c r="D64" s="143"/>
      <c r="E64" s="371" t="s">
        <v>1646</v>
      </c>
      <c r="F64" s="346"/>
      <c r="G64" s="346"/>
      <c r="H64" s="143"/>
    </row>
    <row r="65" spans="2:8" ht="20.100000000000001" customHeight="1">
      <c r="B65" s="185"/>
      <c r="C65" s="143"/>
      <c r="D65" s="143"/>
      <c r="E65" s="378" t="s">
        <v>880</v>
      </c>
      <c r="F65" s="346">
        <v>401317661</v>
      </c>
      <c r="G65" s="346"/>
      <c r="H65" s="143"/>
    </row>
    <row r="66" spans="2:8" ht="20.100000000000001" customHeight="1">
      <c r="B66" s="185"/>
      <c r="C66" s="143"/>
      <c r="D66" s="143"/>
      <c r="E66" s="378" t="s">
        <v>595</v>
      </c>
      <c r="F66" s="346">
        <v>115291299.17</v>
      </c>
      <c r="G66" s="346"/>
      <c r="H66" s="143"/>
    </row>
    <row r="67" spans="2:8" ht="21.75" customHeight="1">
      <c r="B67" s="185"/>
      <c r="C67" s="143"/>
      <c r="D67" s="143"/>
      <c r="E67" s="378" t="s">
        <v>974</v>
      </c>
      <c r="F67" s="346">
        <v>1570730284.04</v>
      </c>
      <c r="G67" s="346"/>
      <c r="H67" s="143"/>
    </row>
    <row r="68" spans="2:8" ht="20.100000000000001" customHeight="1">
      <c r="B68" s="185"/>
      <c r="C68" s="143"/>
      <c r="D68" s="143"/>
      <c r="E68" s="378" t="s">
        <v>1645</v>
      </c>
      <c r="F68" s="346">
        <v>28417990.93</v>
      </c>
      <c r="G68" s="346"/>
      <c r="H68" s="143"/>
    </row>
    <row r="69" spans="2:8" ht="20.100000000000001" customHeight="1">
      <c r="B69" s="154"/>
      <c r="C69" s="141"/>
      <c r="D69" s="141"/>
      <c r="E69" s="311" t="s">
        <v>65</v>
      </c>
      <c r="F69" s="372">
        <f>SUM(F65:F68)</f>
        <v>2115757235.1400001</v>
      </c>
      <c r="G69" s="372"/>
      <c r="H69" s="141"/>
    </row>
    <row r="70" spans="2:8" ht="20.100000000000001" customHeight="1">
      <c r="B70" s="185"/>
      <c r="C70" s="143"/>
      <c r="D70" s="143"/>
      <c r="E70" s="144"/>
      <c r="F70" s="346"/>
      <c r="G70" s="346"/>
      <c r="H70" s="143"/>
    </row>
    <row r="71" spans="2:8" ht="20.100000000000001" customHeight="1">
      <c r="B71" s="154"/>
      <c r="C71" s="141"/>
      <c r="D71" s="141"/>
      <c r="E71" s="305" t="s">
        <v>335</v>
      </c>
      <c r="F71" s="372">
        <f>F69+F62</f>
        <v>12242456448.719999</v>
      </c>
      <c r="G71" s="372"/>
      <c r="H71" s="141"/>
    </row>
  </sheetData>
  <mergeCells count="4">
    <mergeCell ref="B1:H1"/>
    <mergeCell ref="B2:H2"/>
    <mergeCell ref="B3:H3"/>
    <mergeCell ref="B4:H4"/>
  </mergeCells>
  <pageMargins left="0.5" right="0.5" top="0.75" bottom="0.5" header="0.3" footer="0.5"/>
  <pageSetup paperSize="9" firstPageNumber="112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opLeftCell="A4" zoomScale="106" zoomScaleNormal="106" workbookViewId="0">
      <selection activeCell="B4" sqref="B4:H4"/>
    </sheetView>
  </sheetViews>
  <sheetFormatPr defaultRowHeight="15"/>
  <cols>
    <col min="1" max="1" width="2.85546875" style="142" customWidth="1"/>
    <col min="2" max="2" width="5.85546875" style="142" customWidth="1"/>
    <col min="3" max="3" width="15.5703125" style="170" customWidth="1"/>
    <col min="4" max="4" width="9.7109375" style="170" customWidth="1"/>
    <col min="5" max="5" width="38.42578125" style="360" customWidth="1"/>
    <col min="6" max="8" width="20.7109375" style="170" customWidth="1"/>
    <col min="9" max="9" width="17.7109375" style="171" hidden="1" customWidth="1"/>
    <col min="10" max="10" width="18.7109375" style="200" customWidth="1"/>
  </cols>
  <sheetData>
    <row r="1" spans="1:11" s="101" customFormat="1" ht="21.95" hidden="1" customHeight="1">
      <c r="A1" s="142"/>
      <c r="B1" s="599" t="s">
        <v>0</v>
      </c>
      <c r="C1" s="599"/>
      <c r="D1" s="599"/>
      <c r="E1" s="599"/>
      <c r="F1" s="599"/>
      <c r="G1" s="599"/>
      <c r="H1" s="599"/>
      <c r="I1" s="171"/>
      <c r="J1" s="171"/>
    </row>
    <row r="2" spans="1:11" s="101" customFormat="1" ht="21.95" hidden="1" customHeight="1">
      <c r="A2" s="142"/>
      <c r="B2" s="600" t="s">
        <v>1571</v>
      </c>
      <c r="C2" s="600"/>
      <c r="D2" s="600"/>
      <c r="E2" s="600"/>
      <c r="F2" s="600"/>
      <c r="G2" s="600"/>
      <c r="H2" s="600"/>
      <c r="I2" s="171"/>
      <c r="J2" s="171"/>
    </row>
    <row r="3" spans="1:11" s="101" customFormat="1" ht="21.95" hidden="1" customHeight="1">
      <c r="A3" s="142"/>
      <c r="B3" s="600" t="s">
        <v>336</v>
      </c>
      <c r="C3" s="600"/>
      <c r="D3" s="600"/>
      <c r="E3" s="600"/>
      <c r="F3" s="600"/>
      <c r="G3" s="600"/>
      <c r="H3" s="600"/>
      <c r="I3" s="298"/>
      <c r="J3" s="298"/>
      <c r="K3" s="102"/>
    </row>
    <row r="4" spans="1:11" s="101" customFormat="1" ht="21.95" customHeight="1">
      <c r="A4" s="142"/>
      <c r="B4" s="599" t="s">
        <v>2028</v>
      </c>
      <c r="C4" s="599"/>
      <c r="D4" s="599"/>
      <c r="E4" s="599"/>
      <c r="F4" s="599"/>
      <c r="G4" s="599"/>
      <c r="H4" s="599"/>
      <c r="I4" s="299"/>
      <c r="J4" s="299"/>
      <c r="K4" s="103"/>
    </row>
    <row r="5" spans="1:11" ht="12.75" customHeight="1">
      <c r="B5" s="169"/>
      <c r="C5" s="361"/>
    </row>
    <row r="6" spans="1:11" ht="27.95" customHeight="1">
      <c r="B6" s="305" t="s">
        <v>87</v>
      </c>
      <c r="C6" s="304" t="s">
        <v>88</v>
      </c>
      <c r="D6" s="304" t="s">
        <v>89</v>
      </c>
      <c r="E6" s="305" t="s">
        <v>685</v>
      </c>
      <c r="F6" s="304" t="s">
        <v>92</v>
      </c>
      <c r="G6" s="304" t="s">
        <v>91</v>
      </c>
      <c r="H6" s="304" t="s">
        <v>93</v>
      </c>
      <c r="I6" s="179" t="s">
        <v>92</v>
      </c>
    </row>
    <row r="7" spans="1:11" ht="27.95" customHeight="1">
      <c r="B7" s="242"/>
      <c r="C7" s="141"/>
      <c r="D7" s="141"/>
      <c r="E7" s="305"/>
      <c r="F7" s="182" t="s">
        <v>1458</v>
      </c>
      <c r="G7" s="182" t="s">
        <v>1458</v>
      </c>
      <c r="H7" s="182" t="s">
        <v>1458</v>
      </c>
      <c r="I7" s="182" t="s">
        <v>3</v>
      </c>
    </row>
    <row r="8" spans="1:11" ht="27.95" customHeight="1">
      <c r="B8" s="143">
        <v>1</v>
      </c>
      <c r="C8" s="143" t="s">
        <v>412</v>
      </c>
      <c r="D8" s="143" t="s">
        <v>413</v>
      </c>
      <c r="E8" s="349" t="s">
        <v>414</v>
      </c>
      <c r="F8" s="331">
        <v>5280000</v>
      </c>
      <c r="G8" s="331">
        <v>11699924.35</v>
      </c>
      <c r="H8" s="331">
        <f>G8-F8</f>
        <v>6419924.3499999996</v>
      </c>
      <c r="I8" s="379">
        <v>4000000</v>
      </c>
    </row>
    <row r="9" spans="1:11" s="4" customFormat="1" ht="27.95" customHeight="1">
      <c r="A9" s="204"/>
      <c r="B9" s="143">
        <v>2</v>
      </c>
      <c r="C9" s="58" t="s">
        <v>659</v>
      </c>
      <c r="D9" s="31" t="s">
        <v>660</v>
      </c>
      <c r="E9" s="350" t="s">
        <v>661</v>
      </c>
      <c r="F9" s="331">
        <v>6999996</v>
      </c>
      <c r="G9" s="331">
        <v>8164056.1100000003</v>
      </c>
      <c r="H9" s="331">
        <f t="shared" ref="H9:H18" si="0">G9-F9</f>
        <v>1164060.1100000003</v>
      </c>
      <c r="I9" s="379">
        <v>6999996</v>
      </c>
      <c r="J9" s="206"/>
    </row>
    <row r="10" spans="1:11" s="26" customFormat="1" ht="27.95" customHeight="1">
      <c r="A10" s="263"/>
      <c r="B10" s="143">
        <v>3</v>
      </c>
      <c r="C10" s="58" t="s">
        <v>662</v>
      </c>
      <c r="D10" s="31" t="s">
        <v>663</v>
      </c>
      <c r="E10" s="350" t="s">
        <v>664</v>
      </c>
      <c r="F10" s="331">
        <v>2100000</v>
      </c>
      <c r="G10" s="331">
        <v>2700000</v>
      </c>
      <c r="H10" s="331">
        <f t="shared" si="0"/>
        <v>600000</v>
      </c>
      <c r="I10" s="379">
        <v>1800000</v>
      </c>
      <c r="J10" s="380"/>
    </row>
    <row r="11" spans="1:11" s="26" customFormat="1" ht="27.95" customHeight="1">
      <c r="A11" s="263"/>
      <c r="B11" s="143">
        <v>4</v>
      </c>
      <c r="C11" s="59" t="s">
        <v>665</v>
      </c>
      <c r="D11" s="31" t="s">
        <v>666</v>
      </c>
      <c r="E11" s="350" t="s">
        <v>667</v>
      </c>
      <c r="F11" s="331">
        <v>948216152</v>
      </c>
      <c r="G11" s="331">
        <v>1218216870.3399999</v>
      </c>
      <c r="H11" s="331">
        <f t="shared" si="0"/>
        <v>270000718.33999991</v>
      </c>
      <c r="I11" s="379">
        <v>925242552</v>
      </c>
      <c r="J11" s="380"/>
    </row>
    <row r="12" spans="1:11" s="27" customFormat="1" ht="27.95" customHeight="1">
      <c r="A12" s="265"/>
      <c r="B12" s="143">
        <v>5</v>
      </c>
      <c r="C12" s="58" t="s">
        <v>668</v>
      </c>
      <c r="D12" s="31" t="s">
        <v>669</v>
      </c>
      <c r="E12" s="350" t="s">
        <v>670</v>
      </c>
      <c r="F12" s="331">
        <v>65191992</v>
      </c>
      <c r="G12" s="331">
        <v>110937887.83</v>
      </c>
      <c r="H12" s="331">
        <f t="shared" si="0"/>
        <v>45745895.829999998</v>
      </c>
      <c r="I12" s="379">
        <v>65191992</v>
      </c>
      <c r="J12" s="138"/>
    </row>
    <row r="13" spans="1:11" s="27" customFormat="1" ht="27.95" customHeight="1">
      <c r="A13" s="265"/>
      <c r="B13" s="143">
        <v>6</v>
      </c>
      <c r="C13" s="59" t="s">
        <v>671</v>
      </c>
      <c r="D13" s="31" t="s">
        <v>672</v>
      </c>
      <c r="E13" s="350" t="s">
        <v>673</v>
      </c>
      <c r="F13" s="331">
        <f>2110423656+634279344</f>
        <v>2744703000</v>
      </c>
      <c r="G13" s="331">
        <f>955657315.31+3253264634.3</f>
        <v>4208921949.6100001</v>
      </c>
      <c r="H13" s="331">
        <f t="shared" si="0"/>
        <v>1464218949.6100001</v>
      </c>
      <c r="I13" s="379">
        <v>2110423656</v>
      </c>
      <c r="J13" s="138"/>
    </row>
    <row r="14" spans="1:11" s="27" customFormat="1" ht="27.95" customHeight="1">
      <c r="A14" s="265"/>
      <c r="B14" s="143">
        <v>7</v>
      </c>
      <c r="C14" s="58" t="s">
        <v>674</v>
      </c>
      <c r="D14" s="31" t="s">
        <v>675</v>
      </c>
      <c r="E14" s="350" t="s">
        <v>676</v>
      </c>
      <c r="F14" s="331">
        <f>3120000000+4186212296</f>
        <v>7306212296</v>
      </c>
      <c r="G14" s="331">
        <f>3811125264.12+3380000000</f>
        <v>7191125264.1199999</v>
      </c>
      <c r="H14" s="331">
        <f t="shared" si="0"/>
        <v>-115087031.88000011</v>
      </c>
      <c r="I14" s="379">
        <v>3120000000</v>
      </c>
      <c r="J14" s="138"/>
    </row>
    <row r="15" spans="1:11" s="27" customFormat="1" ht="27.95" customHeight="1">
      <c r="A15" s="265"/>
      <c r="B15" s="143">
        <v>8</v>
      </c>
      <c r="C15" s="58" t="s">
        <v>677</v>
      </c>
      <c r="D15" s="31" t="s">
        <v>678</v>
      </c>
      <c r="E15" s="350" t="s">
        <v>679</v>
      </c>
      <c r="F15" s="331">
        <f>2148135795.48+603638941</f>
        <v>2751774736.48</v>
      </c>
      <c r="G15" s="331">
        <f>700000000+2500000000</f>
        <v>3200000000</v>
      </c>
      <c r="H15" s="331">
        <f t="shared" si="0"/>
        <v>448225263.51999998</v>
      </c>
      <c r="I15" s="379">
        <v>2148135795.48</v>
      </c>
      <c r="J15" s="138"/>
    </row>
    <row r="16" spans="1:11" s="27" customFormat="1" ht="27.95" customHeight="1">
      <c r="A16" s="265"/>
      <c r="B16" s="143">
        <v>9</v>
      </c>
      <c r="C16" s="58" t="s">
        <v>680</v>
      </c>
      <c r="D16" s="31" t="s">
        <v>681</v>
      </c>
      <c r="E16" s="350" t="s">
        <v>682</v>
      </c>
      <c r="F16" s="331">
        <f>246222474.48+186628280.31</f>
        <v>432850754.78999996</v>
      </c>
      <c r="G16" s="331">
        <f>200227478.69+280000000</f>
        <v>480227478.69</v>
      </c>
      <c r="H16" s="331">
        <f t="shared" si="0"/>
        <v>47376723.900000036</v>
      </c>
      <c r="I16" s="379">
        <v>246222474.47999999</v>
      </c>
      <c r="J16" s="138"/>
    </row>
    <row r="17" spans="1:10" s="27" customFormat="1" ht="27.95" customHeight="1">
      <c r="A17" s="265"/>
      <c r="B17" s="143">
        <v>10</v>
      </c>
      <c r="C17" s="58" t="s">
        <v>323</v>
      </c>
      <c r="D17" s="31" t="s">
        <v>683</v>
      </c>
      <c r="E17" s="350" t="s">
        <v>684</v>
      </c>
      <c r="F17" s="331">
        <v>45600000</v>
      </c>
      <c r="G17" s="331">
        <v>64600000</v>
      </c>
      <c r="H17" s="331">
        <f t="shared" si="0"/>
        <v>19000000</v>
      </c>
      <c r="I17" s="379">
        <v>45000000</v>
      </c>
      <c r="J17" s="138"/>
    </row>
    <row r="18" spans="1:10" s="27" customFormat="1" ht="27.95" customHeight="1">
      <c r="A18" s="265"/>
      <c r="B18" s="143">
        <v>11</v>
      </c>
      <c r="C18" s="58" t="s">
        <v>154</v>
      </c>
      <c r="D18" s="31" t="s">
        <v>2001</v>
      </c>
      <c r="E18" s="350" t="s">
        <v>857</v>
      </c>
      <c r="F18" s="331">
        <v>0</v>
      </c>
      <c r="G18" s="331">
        <v>362493516.38</v>
      </c>
      <c r="H18" s="331">
        <f t="shared" si="0"/>
        <v>362493516.38</v>
      </c>
      <c r="I18" s="379"/>
      <c r="J18" s="138"/>
    </row>
    <row r="19" spans="1:10" s="27" customFormat="1" ht="31.5" customHeight="1">
      <c r="A19" s="265"/>
      <c r="B19" s="189"/>
      <c r="C19" s="381"/>
      <c r="D19" s="381"/>
      <c r="E19" s="190" t="s">
        <v>65</v>
      </c>
      <c r="F19" s="382">
        <f>SUM(F8:F18)</f>
        <v>14308928927.27</v>
      </c>
      <c r="G19" s="382">
        <f t="shared" ref="G19:H19" si="1">SUM(G8:G18)</f>
        <v>16859086947.43</v>
      </c>
      <c r="H19" s="382">
        <f t="shared" si="1"/>
        <v>2550158020.1599998</v>
      </c>
      <c r="I19" s="382">
        <f>SUM(I8:I17)</f>
        <v>8673016465.9599991</v>
      </c>
      <c r="J19" s="138"/>
    </row>
  </sheetData>
  <mergeCells count="4">
    <mergeCell ref="B1:H1"/>
    <mergeCell ref="B2:H2"/>
    <mergeCell ref="B3:H3"/>
    <mergeCell ref="B4:H4"/>
  </mergeCells>
  <pageMargins left="0.5" right="0.5" top="0.75" bottom="0.25" header="0.3" footer="0.5"/>
  <pageSetup paperSize="9" firstPageNumber="115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opLeftCell="A4" zoomScale="106" zoomScaleNormal="106" workbookViewId="0">
      <selection activeCell="D14" sqref="D14"/>
    </sheetView>
  </sheetViews>
  <sheetFormatPr defaultRowHeight="15"/>
  <cols>
    <col min="1" max="1" width="5.5703125" style="142" customWidth="1"/>
    <col min="2" max="2" width="8.5703125" style="170" customWidth="1"/>
    <col min="3" max="3" width="53.5703125" style="151" customWidth="1"/>
    <col min="4" max="4" width="44.28515625" style="170" customWidth="1"/>
    <col min="5" max="5" width="9.140625" style="142"/>
  </cols>
  <sheetData>
    <row r="1" spans="1:11" s="101" customFormat="1" ht="24.95" hidden="1" customHeight="1">
      <c r="A1" s="142"/>
      <c r="B1" s="599" t="s">
        <v>0</v>
      </c>
      <c r="C1" s="599"/>
      <c r="D1" s="599"/>
      <c r="E1" s="383"/>
      <c r="F1" s="111"/>
      <c r="G1" s="111"/>
      <c r="H1" s="111"/>
      <c r="I1" s="111"/>
      <c r="J1" s="16"/>
    </row>
    <row r="2" spans="1:11" s="101" customFormat="1" ht="24.95" hidden="1" customHeight="1">
      <c r="A2" s="142"/>
      <c r="B2" s="600" t="s">
        <v>1571</v>
      </c>
      <c r="C2" s="600"/>
      <c r="D2" s="600"/>
      <c r="E2" s="270"/>
      <c r="F2" s="105"/>
      <c r="G2" s="105"/>
      <c r="H2" s="105"/>
      <c r="I2" s="105"/>
      <c r="J2" s="16"/>
    </row>
    <row r="3" spans="1:11" s="101" customFormat="1" ht="24.95" hidden="1" customHeight="1">
      <c r="A3" s="142"/>
      <c r="B3" s="600" t="s">
        <v>336</v>
      </c>
      <c r="C3" s="600"/>
      <c r="D3" s="600"/>
      <c r="E3" s="270"/>
      <c r="F3" s="105"/>
      <c r="G3" s="105"/>
      <c r="H3" s="105"/>
      <c r="I3" s="105"/>
      <c r="J3" s="102"/>
      <c r="K3" s="102"/>
    </row>
    <row r="4" spans="1:11" s="101" customFormat="1" ht="24.95" customHeight="1">
      <c r="A4" s="142"/>
      <c r="B4" s="599" t="s">
        <v>2029</v>
      </c>
      <c r="C4" s="599"/>
      <c r="D4" s="599"/>
      <c r="E4" s="269"/>
      <c r="F4" s="104"/>
      <c r="G4" s="104"/>
      <c r="H4" s="104"/>
      <c r="I4" s="104"/>
      <c r="J4" s="103"/>
      <c r="K4" s="103"/>
    </row>
    <row r="5" spans="1:11" ht="12.75" customHeight="1"/>
    <row r="6" spans="1:11" ht="21.95" customHeight="1">
      <c r="B6" s="179" t="s">
        <v>87</v>
      </c>
      <c r="C6" s="179" t="s">
        <v>693</v>
      </c>
      <c r="D6" s="179">
        <v>2018</v>
      </c>
    </row>
    <row r="7" spans="1:11" ht="21.95" customHeight="1">
      <c r="B7" s="143"/>
      <c r="C7" s="331"/>
      <c r="D7" s="182" t="s">
        <v>1458</v>
      </c>
    </row>
    <row r="8" spans="1:11" s="4" customFormat="1" ht="21.95" customHeight="1">
      <c r="A8" s="204"/>
      <c r="B8" s="31">
        <v>1</v>
      </c>
      <c r="C8" s="384" t="s">
        <v>821</v>
      </c>
      <c r="D8" s="264">
        <f>'DEPRECIATION B'!C16</f>
        <v>176654925.62150002</v>
      </c>
      <c r="E8" s="204"/>
    </row>
    <row r="9" spans="1:11" s="26" customFormat="1" ht="21.95" customHeight="1">
      <c r="A9" s="263"/>
      <c r="B9" s="31">
        <v>2</v>
      </c>
      <c r="C9" s="278" t="s">
        <v>715</v>
      </c>
      <c r="D9" s="264">
        <f>'DEPRECIATION B'!D16</f>
        <v>597560921.83399999</v>
      </c>
      <c r="E9" s="263"/>
    </row>
    <row r="10" spans="1:11" s="26" customFormat="1" ht="21.95" customHeight="1">
      <c r="A10" s="263"/>
      <c r="B10" s="31">
        <v>3</v>
      </c>
      <c r="C10" s="384" t="s">
        <v>822</v>
      </c>
      <c r="D10" s="264">
        <f>'DEPRECIATION B'!E16</f>
        <v>21510032.609000001</v>
      </c>
      <c r="E10" s="263"/>
    </row>
    <row r="11" spans="1:11" s="27" customFormat="1" ht="21.95" customHeight="1">
      <c r="A11" s="265"/>
      <c r="B11" s="31">
        <v>4</v>
      </c>
      <c r="C11" s="384" t="s">
        <v>716</v>
      </c>
      <c r="D11" s="264">
        <f>'DEPRECIATION B'!F16</f>
        <v>251627759.61199999</v>
      </c>
      <c r="E11" s="265"/>
    </row>
    <row r="12" spans="1:11" s="27" customFormat="1" ht="21.95" customHeight="1">
      <c r="A12" s="265"/>
      <c r="B12" s="31">
        <v>5</v>
      </c>
      <c r="C12" s="384" t="s">
        <v>717</v>
      </c>
      <c r="D12" s="264">
        <f>'DEPRECIATION B'!G16</f>
        <v>352574258.91250002</v>
      </c>
      <c r="E12" s="265"/>
    </row>
    <row r="13" spans="1:11" s="27" customFormat="1" ht="21.95" customHeight="1">
      <c r="A13" s="265"/>
      <c r="B13" s="31">
        <v>6</v>
      </c>
      <c r="C13" s="384" t="s">
        <v>1557</v>
      </c>
      <c r="D13" s="264">
        <f>'DEPRECIATION B'!H16</f>
        <v>163100192.54800001</v>
      </c>
      <c r="E13" s="265"/>
    </row>
    <row r="14" spans="1:11" s="30" customFormat="1" ht="21.95" customHeight="1">
      <c r="A14" s="352"/>
      <c r="B14" s="353"/>
      <c r="C14" s="385" t="s">
        <v>65</v>
      </c>
      <c r="D14" s="266">
        <f>SUM(D8:D13)</f>
        <v>1563028091.1370001</v>
      </c>
      <c r="E14" s="352"/>
    </row>
    <row r="15" spans="1:11" s="27" customFormat="1" ht="11.25" customHeight="1">
      <c r="A15" s="265"/>
      <c r="B15" s="45"/>
      <c r="C15" s="35"/>
      <c r="D15" s="252"/>
      <c r="E15" s="265"/>
    </row>
    <row r="16" spans="1:11" s="27" customFormat="1" ht="22.5" customHeight="1">
      <c r="A16" s="265"/>
      <c r="B16" s="612" t="s">
        <v>1931</v>
      </c>
      <c r="C16" s="612"/>
      <c r="D16" s="612"/>
      <c r="E16" s="265"/>
    </row>
    <row r="17" spans="1:5" s="27" customFormat="1" ht="21.95" customHeight="1">
      <c r="A17" s="265"/>
      <c r="B17" s="179" t="s">
        <v>87</v>
      </c>
      <c r="C17" s="179" t="s">
        <v>693</v>
      </c>
      <c r="D17" s="179">
        <v>2018</v>
      </c>
      <c r="E17" s="265"/>
    </row>
    <row r="18" spans="1:5" s="27" customFormat="1" ht="21.95" customHeight="1">
      <c r="A18" s="265"/>
      <c r="B18" s="179"/>
      <c r="C18" s="179"/>
      <c r="D18" s="182" t="s">
        <v>1458</v>
      </c>
      <c r="E18" s="265"/>
    </row>
    <row r="19" spans="1:5" s="27" customFormat="1" ht="21.95" customHeight="1">
      <c r="A19" s="265"/>
      <c r="B19" s="143">
        <v>1</v>
      </c>
      <c r="C19" s="278" t="s">
        <v>722</v>
      </c>
      <c r="D19" s="287">
        <v>0</v>
      </c>
      <c r="E19" s="265"/>
    </row>
    <row r="20" spans="1:5" ht="21.95" customHeight="1">
      <c r="B20" s="143">
        <v>2</v>
      </c>
      <c r="C20" s="278" t="s">
        <v>723</v>
      </c>
      <c r="D20" s="287">
        <v>0</v>
      </c>
    </row>
    <row r="21" spans="1:5" ht="21.95" customHeight="1">
      <c r="B21" s="143">
        <v>3</v>
      </c>
      <c r="C21" s="278" t="s">
        <v>823</v>
      </c>
      <c r="D21" s="287">
        <v>0</v>
      </c>
    </row>
    <row r="22" spans="1:5" ht="21.95" customHeight="1">
      <c r="B22" s="143">
        <v>4</v>
      </c>
      <c r="C22" s="278" t="s">
        <v>824</v>
      </c>
      <c r="D22" s="287">
        <v>0</v>
      </c>
    </row>
    <row r="23" spans="1:5" s="6" customFormat="1" ht="21.95" customHeight="1">
      <c r="A23" s="169"/>
      <c r="B23" s="141"/>
      <c r="C23" s="386" t="s">
        <v>65</v>
      </c>
      <c r="D23" s="266">
        <f>SUM(D19:D22)</f>
        <v>0</v>
      </c>
      <c r="E23" s="169"/>
    </row>
  </sheetData>
  <mergeCells count="5">
    <mergeCell ref="B1:D1"/>
    <mergeCell ref="B2:D2"/>
    <mergeCell ref="B3:D3"/>
    <mergeCell ref="B4:D4"/>
    <mergeCell ref="B16:D16"/>
  </mergeCells>
  <pageMargins left="0.5" right="0.5" top="0.75" bottom="0.5" header="0.3" footer="0.5"/>
  <pageSetup paperSize="9" firstPageNumber="54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opLeftCell="A4" zoomScale="106" zoomScaleNormal="106" workbookViewId="0">
      <selection activeCell="B4" sqref="B4:I4"/>
    </sheetView>
  </sheetViews>
  <sheetFormatPr defaultRowHeight="15"/>
  <cols>
    <col min="1" max="1" width="2.85546875" style="142" customWidth="1"/>
    <col min="2" max="2" width="18.5703125" style="170" customWidth="1"/>
    <col min="3" max="3" width="15.7109375" style="151" customWidth="1"/>
    <col min="4" max="4" width="16.140625" style="170" customWidth="1"/>
    <col min="5" max="8" width="15.7109375" style="170" customWidth="1"/>
    <col min="9" max="9" width="16.7109375" style="171" customWidth="1"/>
    <col min="10" max="10" width="9.140625" style="142"/>
    <col min="11" max="11" width="16" bestFit="1" customWidth="1"/>
  </cols>
  <sheetData>
    <row r="1" spans="1:11" s="101" customFormat="1" ht="21.95" hidden="1" customHeight="1">
      <c r="A1" s="142"/>
      <c r="B1" s="599" t="s">
        <v>0</v>
      </c>
      <c r="C1" s="599"/>
      <c r="D1" s="599"/>
      <c r="E1" s="599"/>
      <c r="F1" s="599"/>
      <c r="G1" s="599"/>
      <c r="H1" s="599"/>
      <c r="I1" s="599"/>
      <c r="J1" s="171"/>
    </row>
    <row r="2" spans="1:11" s="101" customFormat="1" ht="21.95" hidden="1" customHeight="1">
      <c r="A2" s="142"/>
      <c r="B2" s="600" t="s">
        <v>1571</v>
      </c>
      <c r="C2" s="600"/>
      <c r="D2" s="600"/>
      <c r="E2" s="600"/>
      <c r="F2" s="600"/>
      <c r="G2" s="600"/>
      <c r="H2" s="600"/>
      <c r="I2" s="600"/>
      <c r="J2" s="171"/>
    </row>
    <row r="3" spans="1:11" s="101" customFormat="1" ht="21.95" hidden="1" customHeight="1">
      <c r="A3" s="142"/>
      <c r="B3" s="600" t="s">
        <v>336</v>
      </c>
      <c r="C3" s="600"/>
      <c r="D3" s="600"/>
      <c r="E3" s="600"/>
      <c r="F3" s="600"/>
      <c r="G3" s="600"/>
      <c r="H3" s="600"/>
      <c r="I3" s="600"/>
      <c r="J3" s="298"/>
      <c r="K3" s="102"/>
    </row>
    <row r="4" spans="1:11" s="101" customFormat="1" ht="21.95" customHeight="1">
      <c r="A4" s="142"/>
      <c r="B4" s="599" t="s">
        <v>2030</v>
      </c>
      <c r="C4" s="599"/>
      <c r="D4" s="599"/>
      <c r="E4" s="599"/>
      <c r="F4" s="599"/>
      <c r="G4" s="599"/>
      <c r="H4" s="599"/>
      <c r="I4" s="599"/>
      <c r="J4" s="299"/>
      <c r="K4" s="103"/>
    </row>
    <row r="5" spans="1:11" ht="12.75" customHeight="1"/>
    <row r="6" spans="1:11" ht="27.95" customHeight="1">
      <c r="B6" s="179"/>
      <c r="C6" s="179" t="s">
        <v>932</v>
      </c>
      <c r="D6" s="179" t="s">
        <v>715</v>
      </c>
      <c r="E6" s="179" t="s">
        <v>933</v>
      </c>
      <c r="F6" s="179" t="s">
        <v>716</v>
      </c>
      <c r="G6" s="179" t="s">
        <v>717</v>
      </c>
      <c r="H6" s="179" t="s">
        <v>934</v>
      </c>
      <c r="I6" s="179" t="s">
        <v>65</v>
      </c>
    </row>
    <row r="7" spans="1:11" ht="27.95" customHeight="1">
      <c r="B7" s="179" t="s">
        <v>942</v>
      </c>
      <c r="C7" s="387">
        <v>0.05</v>
      </c>
      <c r="D7" s="387">
        <v>0.05</v>
      </c>
      <c r="E7" s="387">
        <v>0.1</v>
      </c>
      <c r="F7" s="387">
        <v>0.2</v>
      </c>
      <c r="G7" s="387">
        <v>0.25</v>
      </c>
      <c r="H7" s="387">
        <v>0.2</v>
      </c>
      <c r="I7" s="387"/>
    </row>
    <row r="8" spans="1:11" ht="27.95" customHeight="1">
      <c r="B8" s="179"/>
      <c r="C8" s="182" t="s">
        <v>1458</v>
      </c>
      <c r="D8" s="182" t="s">
        <v>1458</v>
      </c>
      <c r="E8" s="182" t="s">
        <v>1458</v>
      </c>
      <c r="F8" s="182" t="s">
        <v>1458</v>
      </c>
      <c r="G8" s="182" t="s">
        <v>1458</v>
      </c>
      <c r="H8" s="182" t="s">
        <v>1458</v>
      </c>
      <c r="I8" s="182" t="s">
        <v>1458</v>
      </c>
    </row>
    <row r="9" spans="1:11" ht="27.95" customHeight="1">
      <c r="B9" s="262" t="s">
        <v>1473</v>
      </c>
      <c r="C9" s="331">
        <v>641662390.39999998</v>
      </c>
      <c r="D9" s="331">
        <v>1723557750.1300001</v>
      </c>
      <c r="E9" s="331">
        <v>138392326.09</v>
      </c>
      <c r="F9" s="331">
        <v>717334681.97000003</v>
      </c>
      <c r="G9" s="331">
        <v>79346602.5</v>
      </c>
      <c r="H9" s="331">
        <v>70266830</v>
      </c>
      <c r="I9" s="296">
        <f>SUM(C9:H9)</f>
        <v>3370560581.0900002</v>
      </c>
    </row>
    <row r="10" spans="1:11" s="4" customFormat="1" ht="27.95" customHeight="1">
      <c r="A10" s="204"/>
      <c r="B10" s="41" t="s">
        <v>1642</v>
      </c>
      <c r="C10" s="13">
        <v>2891436122.0300002</v>
      </c>
      <c r="D10" s="264">
        <v>10227660686.549999</v>
      </c>
      <c r="E10" s="264">
        <v>76708000</v>
      </c>
      <c r="F10" s="264">
        <v>540804116.09000003</v>
      </c>
      <c r="G10" s="264">
        <v>1330950433.1500001</v>
      </c>
      <c r="H10" s="264">
        <v>745234132.74000001</v>
      </c>
      <c r="I10" s="296">
        <f t="shared" ref="I10:I19" si="0">SUM(C10:H10)</f>
        <v>15812793490.559999</v>
      </c>
      <c r="J10" s="204"/>
    </row>
    <row r="11" spans="1:11" s="26" customFormat="1" ht="27.95" customHeight="1">
      <c r="A11" s="263"/>
      <c r="B11" s="41" t="s">
        <v>719</v>
      </c>
      <c r="C11" s="351">
        <v>0</v>
      </c>
      <c r="D11" s="264">
        <v>0</v>
      </c>
      <c r="E11" s="264">
        <v>0</v>
      </c>
      <c r="F11" s="264">
        <v>0</v>
      </c>
      <c r="G11" s="264">
        <v>0</v>
      </c>
      <c r="H11" s="264">
        <v>0</v>
      </c>
      <c r="I11" s="296">
        <f t="shared" si="0"/>
        <v>0</v>
      </c>
      <c r="J11" s="263"/>
    </row>
    <row r="12" spans="1:11" s="26" customFormat="1" ht="27.95" customHeight="1">
      <c r="A12" s="263"/>
      <c r="B12" s="41" t="s">
        <v>720</v>
      </c>
      <c r="C12" s="13">
        <v>0</v>
      </c>
      <c r="D12" s="264">
        <v>0</v>
      </c>
      <c r="E12" s="264">
        <v>0</v>
      </c>
      <c r="F12" s="264">
        <v>0</v>
      </c>
      <c r="G12" s="264">
        <v>0</v>
      </c>
      <c r="H12" s="264">
        <v>0</v>
      </c>
      <c r="I12" s="296">
        <f t="shared" si="0"/>
        <v>0</v>
      </c>
      <c r="J12" s="263"/>
      <c r="K12" s="25"/>
    </row>
    <row r="13" spans="1:11" s="27" customFormat="1" ht="27.95" customHeight="1">
      <c r="A13" s="265"/>
      <c r="B13" s="49" t="s">
        <v>1581</v>
      </c>
      <c r="C13" s="293">
        <f>C9+C10</f>
        <v>3533098512.4300003</v>
      </c>
      <c r="D13" s="293">
        <f t="shared" ref="D13:H13" si="1">D9+D10</f>
        <v>11951218436.68</v>
      </c>
      <c r="E13" s="293">
        <f t="shared" si="1"/>
        <v>215100326.09</v>
      </c>
      <c r="F13" s="293">
        <f t="shared" si="1"/>
        <v>1258138798.0599999</v>
      </c>
      <c r="G13" s="293">
        <f t="shared" si="1"/>
        <v>1410297035.6500001</v>
      </c>
      <c r="H13" s="293">
        <f t="shared" si="1"/>
        <v>815500962.74000001</v>
      </c>
      <c r="I13" s="296">
        <f t="shared" si="0"/>
        <v>19183354071.650002</v>
      </c>
      <c r="J13" s="265"/>
    </row>
    <row r="14" spans="1:11" s="27" customFormat="1" ht="27.95" customHeight="1">
      <c r="A14" s="265"/>
      <c r="B14" s="49" t="s">
        <v>943</v>
      </c>
      <c r="C14" s="13"/>
      <c r="D14" s="264"/>
      <c r="E14" s="264"/>
      <c r="F14" s="264"/>
      <c r="G14" s="264"/>
      <c r="H14" s="264"/>
      <c r="I14" s="296">
        <f t="shared" si="0"/>
        <v>0</v>
      </c>
      <c r="J14" s="265"/>
    </row>
    <row r="15" spans="1:11" s="27" customFormat="1" ht="27.95" customHeight="1">
      <c r="A15" s="265"/>
      <c r="B15" s="41" t="s">
        <v>1535</v>
      </c>
      <c r="C15" s="13">
        <f>0.05*C9</f>
        <v>32083119.52</v>
      </c>
      <c r="D15" s="264">
        <f>0.05*D9</f>
        <v>86177887.506500006</v>
      </c>
      <c r="E15" s="264">
        <f>0.1*E9</f>
        <v>13839232.609000001</v>
      </c>
      <c r="F15" s="264">
        <f>0.2*F9</f>
        <v>143466936.39400002</v>
      </c>
      <c r="G15" s="264">
        <f>0.25*G9</f>
        <v>19836650.625</v>
      </c>
      <c r="H15" s="264">
        <f>0.2*H9</f>
        <v>14053366</v>
      </c>
      <c r="I15" s="296">
        <f t="shared" si="0"/>
        <v>309457192.65450001</v>
      </c>
      <c r="J15" s="265"/>
    </row>
    <row r="16" spans="1:11" s="27" customFormat="1" ht="27.95" customHeight="1">
      <c r="A16" s="265"/>
      <c r="B16" s="41" t="s">
        <v>721</v>
      </c>
      <c r="C16" s="293">
        <f>0.05*C13</f>
        <v>176654925.62150002</v>
      </c>
      <c r="D16" s="266">
        <f>0.05*D13</f>
        <v>597560921.83399999</v>
      </c>
      <c r="E16" s="266">
        <f>0.1*E13</f>
        <v>21510032.609000001</v>
      </c>
      <c r="F16" s="266">
        <f>0.2*F13</f>
        <v>251627759.61199999</v>
      </c>
      <c r="G16" s="266">
        <f>0.25*G13</f>
        <v>352574258.91250002</v>
      </c>
      <c r="H16" s="266">
        <f>0.2*H13</f>
        <v>163100192.54800001</v>
      </c>
      <c r="I16" s="296">
        <f t="shared" si="0"/>
        <v>1563028091.1370001</v>
      </c>
      <c r="J16" s="265"/>
    </row>
    <row r="17" spans="1:11" s="27" customFormat="1" ht="27.95" customHeight="1">
      <c r="A17" s="265"/>
      <c r="B17" s="41" t="s">
        <v>719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296">
        <f t="shared" si="0"/>
        <v>0</v>
      </c>
      <c r="J17" s="265"/>
    </row>
    <row r="18" spans="1:11" s="27" customFormat="1" ht="27.95" customHeight="1">
      <c r="A18" s="265"/>
      <c r="B18" s="41" t="s">
        <v>720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296">
        <f t="shared" si="0"/>
        <v>0</v>
      </c>
      <c r="J18" s="265"/>
      <c r="K18" s="146"/>
    </row>
    <row r="19" spans="1:11" s="30" customFormat="1" ht="27.95" customHeight="1">
      <c r="A19" s="352"/>
      <c r="B19" s="49" t="s">
        <v>1917</v>
      </c>
      <c r="C19" s="293">
        <f>C15+C16</f>
        <v>208738045.14150003</v>
      </c>
      <c r="D19" s="293">
        <f t="shared" ref="D19:H19" si="2">D15+D16</f>
        <v>683738809.3405</v>
      </c>
      <c r="E19" s="293">
        <f t="shared" si="2"/>
        <v>35349265.218000002</v>
      </c>
      <c r="F19" s="293">
        <f t="shared" si="2"/>
        <v>395094696.00600004</v>
      </c>
      <c r="G19" s="293">
        <f t="shared" si="2"/>
        <v>372410909.53750002</v>
      </c>
      <c r="H19" s="293">
        <f t="shared" si="2"/>
        <v>177153558.54800001</v>
      </c>
      <c r="I19" s="296">
        <f t="shared" si="0"/>
        <v>1872485283.7915003</v>
      </c>
      <c r="J19" s="352"/>
    </row>
    <row r="20" spans="1:11" s="30" customFormat="1" ht="27.95" customHeight="1">
      <c r="A20" s="352"/>
      <c r="B20" s="49" t="s">
        <v>1583</v>
      </c>
      <c r="C20" s="293">
        <f t="shared" ref="C20:I20" si="3">C13-C19</f>
        <v>3324360467.2885003</v>
      </c>
      <c r="D20" s="293">
        <f t="shared" si="3"/>
        <v>11267479627.3395</v>
      </c>
      <c r="E20" s="293">
        <f t="shared" si="3"/>
        <v>179751060.87200001</v>
      </c>
      <c r="F20" s="293">
        <f t="shared" si="3"/>
        <v>863044102.0539999</v>
      </c>
      <c r="G20" s="293">
        <f t="shared" si="3"/>
        <v>1037886126.1125001</v>
      </c>
      <c r="H20" s="293">
        <f t="shared" si="3"/>
        <v>638347404.19200003</v>
      </c>
      <c r="I20" s="293">
        <f t="shared" si="3"/>
        <v>17310868787.858501</v>
      </c>
      <c r="J20" s="352"/>
    </row>
  </sheetData>
  <mergeCells count="4">
    <mergeCell ref="B1:I1"/>
    <mergeCell ref="B2:I2"/>
    <mergeCell ref="B3:I3"/>
    <mergeCell ref="B4:I4"/>
  </mergeCells>
  <pageMargins left="0.5" right="0.5" top="0.75" bottom="0.5" header="0.3" footer="0.5"/>
  <pageSetup paperSize="9" firstPageNumber="116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  <ignoredErrors>
    <ignoredError sqref="G15:G16" formula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90"/>
  <sheetViews>
    <sheetView topLeftCell="B4" zoomScale="106" zoomScaleNormal="106" workbookViewId="0">
      <selection activeCell="B4" sqref="B4:H4"/>
    </sheetView>
  </sheetViews>
  <sheetFormatPr defaultRowHeight="15"/>
  <cols>
    <col min="1" max="1" width="2.85546875" customWidth="1"/>
    <col min="2" max="2" width="6.28515625" style="170" customWidth="1"/>
    <col min="3" max="3" width="38.7109375" style="151" customWidth="1"/>
    <col min="4" max="4" width="28.28515625" style="170" customWidth="1"/>
    <col min="5" max="5" width="19.7109375" style="388" customWidth="1"/>
    <col min="6" max="6" width="19.7109375" style="200" customWidth="1"/>
    <col min="7" max="7" width="19.7109375" style="142" customWidth="1"/>
    <col min="8" max="9" width="9.140625" style="142"/>
  </cols>
  <sheetData>
    <row r="1" spans="2:11" s="101" customFormat="1" ht="21.95" hidden="1" customHeight="1">
      <c r="B1" s="599" t="s">
        <v>0</v>
      </c>
      <c r="C1" s="599"/>
      <c r="D1" s="599"/>
      <c r="E1" s="599"/>
      <c r="F1" s="599"/>
      <c r="G1" s="599"/>
      <c r="H1" s="599"/>
      <c r="I1" s="171"/>
      <c r="J1" s="16"/>
    </row>
    <row r="2" spans="2:11" s="101" customFormat="1" ht="21.95" hidden="1" customHeight="1">
      <c r="B2" s="600" t="s">
        <v>1571</v>
      </c>
      <c r="C2" s="600"/>
      <c r="D2" s="600"/>
      <c r="E2" s="600"/>
      <c r="F2" s="600"/>
      <c r="G2" s="600"/>
      <c r="H2" s="600"/>
      <c r="I2" s="171"/>
      <c r="J2" s="16"/>
    </row>
    <row r="3" spans="2:11" s="101" customFormat="1" ht="21.95" hidden="1" customHeight="1">
      <c r="B3" s="600" t="s">
        <v>336</v>
      </c>
      <c r="C3" s="600"/>
      <c r="D3" s="600"/>
      <c r="E3" s="600"/>
      <c r="F3" s="600"/>
      <c r="G3" s="600"/>
      <c r="H3" s="600"/>
      <c r="I3" s="298"/>
      <c r="J3" s="102"/>
      <c r="K3" s="102"/>
    </row>
    <row r="4" spans="2:11" s="101" customFormat="1" ht="21.95" customHeight="1">
      <c r="B4" s="599" t="s">
        <v>2031</v>
      </c>
      <c r="C4" s="599"/>
      <c r="D4" s="599"/>
      <c r="E4" s="599"/>
      <c r="F4" s="599"/>
      <c r="G4" s="599"/>
      <c r="H4" s="599"/>
      <c r="I4" s="299"/>
      <c r="J4" s="103"/>
      <c r="K4" s="103"/>
    </row>
    <row r="5" spans="2:11" ht="12.75" customHeight="1"/>
    <row r="6" spans="2:11" ht="23.1" customHeight="1">
      <c r="B6" s="179" t="s">
        <v>87</v>
      </c>
      <c r="C6" s="179" t="s">
        <v>693</v>
      </c>
      <c r="D6" s="179" t="s">
        <v>826</v>
      </c>
      <c r="E6" s="179" t="s">
        <v>92</v>
      </c>
      <c r="F6" s="389" t="s">
        <v>91</v>
      </c>
      <c r="G6" s="179" t="s">
        <v>93</v>
      </c>
    </row>
    <row r="7" spans="2:11" s="108" customFormat="1" ht="23.1" customHeight="1">
      <c r="B7" s="143"/>
      <c r="C7" s="331"/>
      <c r="D7" s="182"/>
      <c r="E7" s="182" t="s">
        <v>1458</v>
      </c>
      <c r="F7" s="182" t="s">
        <v>1458</v>
      </c>
      <c r="G7" s="182" t="s">
        <v>1458</v>
      </c>
      <c r="H7" s="142"/>
      <c r="I7" s="142"/>
    </row>
    <row r="8" spans="2:11" s="17" customFormat="1" ht="24.95" customHeight="1">
      <c r="B8" s="31">
        <v>1</v>
      </c>
      <c r="C8" s="520" t="s">
        <v>1649</v>
      </c>
      <c r="D8" s="515" t="s">
        <v>1648</v>
      </c>
      <c r="E8" s="22">
        <v>44770442.399999999</v>
      </c>
      <c r="F8" s="331">
        <v>250000000</v>
      </c>
      <c r="G8" s="331">
        <f>F8-E8</f>
        <v>205229557.59999999</v>
      </c>
      <c r="H8" s="251"/>
      <c r="I8" s="251"/>
    </row>
    <row r="9" spans="2:11" s="17" customFormat="1" ht="24.95" customHeight="1">
      <c r="B9" s="31">
        <v>2</v>
      </c>
      <c r="C9" s="376" t="s">
        <v>1654</v>
      </c>
      <c r="D9" s="349" t="s">
        <v>1650</v>
      </c>
      <c r="E9" s="22">
        <v>1600000</v>
      </c>
      <c r="F9" s="331">
        <v>5000000</v>
      </c>
      <c r="G9" s="331">
        <f>F9-E9</f>
        <v>3400000</v>
      </c>
      <c r="H9" s="251"/>
      <c r="I9" s="251"/>
    </row>
    <row r="10" spans="2:11" s="17" customFormat="1" ht="24.95" customHeight="1">
      <c r="B10" s="31">
        <v>3</v>
      </c>
      <c r="C10" s="520" t="s">
        <v>1655</v>
      </c>
      <c r="D10" s="349" t="s">
        <v>1650</v>
      </c>
      <c r="E10" s="22">
        <v>168000000</v>
      </c>
      <c r="F10" s="331"/>
      <c r="G10" s="331"/>
      <c r="H10" s="251"/>
      <c r="I10" s="251"/>
    </row>
    <row r="11" spans="2:11" s="16" customFormat="1" ht="24.95" customHeight="1">
      <c r="B11" s="31">
        <v>4</v>
      </c>
      <c r="C11" s="520" t="s">
        <v>1651</v>
      </c>
      <c r="D11" s="349" t="s">
        <v>1650</v>
      </c>
      <c r="E11" s="22">
        <v>60000000</v>
      </c>
      <c r="F11" s="331"/>
      <c r="G11" s="331"/>
      <c r="H11" s="171"/>
      <c r="I11" s="171"/>
    </row>
    <row r="12" spans="2:11" s="16" customFormat="1" ht="24.95" customHeight="1">
      <c r="B12" s="31">
        <v>5</v>
      </c>
      <c r="C12" s="520" t="s">
        <v>1652</v>
      </c>
      <c r="D12" s="349" t="s">
        <v>1650</v>
      </c>
      <c r="E12" s="22">
        <v>7750000</v>
      </c>
      <c r="F12" s="331">
        <v>320000000</v>
      </c>
      <c r="G12" s="331">
        <f>F12-E10-E11-E12-E13-E14</f>
        <v>75750000</v>
      </c>
      <c r="H12" s="171"/>
      <c r="I12" s="171"/>
    </row>
    <row r="13" spans="2:11" s="16" customFormat="1" ht="24.95" customHeight="1">
      <c r="B13" s="31">
        <v>6</v>
      </c>
      <c r="C13" s="520" t="s">
        <v>1653</v>
      </c>
      <c r="D13" s="349" t="s">
        <v>1650</v>
      </c>
      <c r="E13" s="22">
        <v>500000</v>
      </c>
      <c r="F13" s="331"/>
      <c r="G13" s="331"/>
      <c r="H13" s="171"/>
      <c r="I13" s="171"/>
    </row>
    <row r="14" spans="2:11" s="16" customFormat="1" ht="24.95" customHeight="1">
      <c r="B14" s="31">
        <v>7</v>
      </c>
      <c r="C14" s="376" t="s">
        <v>1656</v>
      </c>
      <c r="D14" s="349" t="s">
        <v>1650</v>
      </c>
      <c r="E14" s="22">
        <v>8000000</v>
      </c>
      <c r="F14" s="331"/>
      <c r="G14" s="331"/>
      <c r="H14" s="171"/>
      <c r="I14" s="171"/>
    </row>
    <row r="15" spans="2:11" s="16" customFormat="1" ht="24.95" customHeight="1">
      <c r="B15" s="31">
        <v>8</v>
      </c>
      <c r="C15" s="376" t="s">
        <v>1657</v>
      </c>
      <c r="D15" s="349" t="s">
        <v>1658</v>
      </c>
      <c r="E15" s="22">
        <v>22825000</v>
      </c>
      <c r="F15" s="331">
        <v>70000000</v>
      </c>
      <c r="G15" s="331">
        <f>F15-E15</f>
        <v>47175000</v>
      </c>
      <c r="H15" s="171"/>
      <c r="I15" s="171"/>
    </row>
    <row r="16" spans="2:11" s="16" customFormat="1" ht="24.95" customHeight="1">
      <c r="B16" s="31">
        <v>9</v>
      </c>
      <c r="C16" s="376" t="s">
        <v>1659</v>
      </c>
      <c r="D16" s="349" t="s">
        <v>1660</v>
      </c>
      <c r="E16" s="22">
        <v>36000000</v>
      </c>
      <c r="F16" s="331">
        <v>0</v>
      </c>
      <c r="G16" s="331"/>
      <c r="H16" s="171"/>
      <c r="I16" s="171"/>
    </row>
    <row r="17" spans="2:9" s="16" customFormat="1" ht="24.95" customHeight="1">
      <c r="B17" s="31">
        <v>10</v>
      </c>
      <c r="C17" s="376" t="s">
        <v>1661</v>
      </c>
      <c r="D17" s="349" t="s">
        <v>1660</v>
      </c>
      <c r="E17" s="22">
        <v>10000000</v>
      </c>
      <c r="F17" s="331">
        <v>150000000</v>
      </c>
      <c r="G17" s="331">
        <f>F17-E16-E17</f>
        <v>104000000</v>
      </c>
      <c r="H17" s="171"/>
      <c r="I17" s="171"/>
    </row>
    <row r="18" spans="2:9" s="16" customFormat="1" ht="24.95" customHeight="1">
      <c r="B18" s="31">
        <v>11</v>
      </c>
      <c r="C18" s="346" t="s">
        <v>1662</v>
      </c>
      <c r="D18" s="349" t="s">
        <v>1663</v>
      </c>
      <c r="E18" s="22">
        <v>1500000</v>
      </c>
      <c r="F18" s="331">
        <v>11500000</v>
      </c>
      <c r="G18" s="331">
        <f t="shared" ref="G18:G28" si="0">F18-E18</f>
        <v>10000000</v>
      </c>
      <c r="H18" s="171"/>
      <c r="I18" s="171"/>
    </row>
    <row r="19" spans="2:9" s="16" customFormat="1" ht="24.95" customHeight="1">
      <c r="B19" s="31">
        <v>12</v>
      </c>
      <c r="C19" s="346" t="s">
        <v>1664</v>
      </c>
      <c r="D19" s="349" t="s">
        <v>1665</v>
      </c>
      <c r="E19" s="22">
        <v>9800000</v>
      </c>
      <c r="F19" s="331">
        <v>20000000</v>
      </c>
      <c r="G19" s="331">
        <f t="shared" si="0"/>
        <v>10200000</v>
      </c>
      <c r="H19" s="171"/>
      <c r="I19" s="171"/>
    </row>
    <row r="20" spans="2:9" s="16" customFormat="1" ht="24.95" customHeight="1">
      <c r="B20" s="31">
        <v>13</v>
      </c>
      <c r="C20" s="346" t="s">
        <v>1966</v>
      </c>
      <c r="D20" s="349" t="s">
        <v>1665</v>
      </c>
      <c r="E20" s="22">
        <v>79430954.5</v>
      </c>
      <c r="F20" s="331"/>
      <c r="G20" s="331"/>
      <c r="H20" s="171"/>
      <c r="I20" s="171"/>
    </row>
    <row r="21" spans="2:9" s="16" customFormat="1" ht="24.95" customHeight="1">
      <c r="B21" s="31">
        <v>14</v>
      </c>
      <c r="C21" s="346" t="s">
        <v>1677</v>
      </c>
      <c r="D21" s="349" t="s">
        <v>1666</v>
      </c>
      <c r="E21" s="22">
        <v>1000000</v>
      </c>
      <c r="F21" s="331">
        <v>20000000</v>
      </c>
      <c r="G21" s="331">
        <f t="shared" si="0"/>
        <v>19000000</v>
      </c>
      <c r="H21" s="171"/>
      <c r="I21" s="171"/>
    </row>
    <row r="22" spans="2:9" s="16" customFormat="1" ht="24.95" customHeight="1">
      <c r="B22" s="31">
        <v>15</v>
      </c>
      <c r="C22" s="346" t="s">
        <v>1678</v>
      </c>
      <c r="D22" s="349" t="s">
        <v>1667</v>
      </c>
      <c r="E22" s="22">
        <v>1500000</v>
      </c>
      <c r="F22" s="331">
        <v>5000000</v>
      </c>
      <c r="G22" s="331">
        <f t="shared" si="0"/>
        <v>3500000</v>
      </c>
      <c r="H22" s="171"/>
      <c r="I22" s="171"/>
    </row>
    <row r="23" spans="2:9" s="16" customFormat="1" ht="24.95" customHeight="1">
      <c r="B23" s="31">
        <v>16</v>
      </c>
      <c r="C23" s="346" t="s">
        <v>1668</v>
      </c>
      <c r="D23" s="349" t="s">
        <v>1667</v>
      </c>
      <c r="E23" s="22">
        <v>300250</v>
      </c>
      <c r="F23" s="331">
        <v>1000000</v>
      </c>
      <c r="G23" s="331">
        <f t="shared" si="0"/>
        <v>699750</v>
      </c>
      <c r="H23" s="171"/>
      <c r="I23" s="171"/>
    </row>
    <row r="24" spans="2:9" s="16" customFormat="1" ht="24.95" customHeight="1">
      <c r="B24" s="31">
        <v>17</v>
      </c>
      <c r="C24" s="346" t="s">
        <v>1669</v>
      </c>
      <c r="D24" s="349" t="s">
        <v>1667</v>
      </c>
      <c r="E24" s="22">
        <v>10396320</v>
      </c>
      <c r="F24" s="331">
        <v>35000000</v>
      </c>
      <c r="G24" s="331">
        <f t="shared" si="0"/>
        <v>24603680</v>
      </c>
      <c r="H24" s="171"/>
      <c r="I24" s="171"/>
    </row>
    <row r="25" spans="2:9" s="16" customFormat="1" ht="24.95" customHeight="1">
      <c r="B25" s="31">
        <v>18</v>
      </c>
      <c r="C25" s="346" t="s">
        <v>1670</v>
      </c>
      <c r="D25" s="349" t="s">
        <v>1671</v>
      </c>
      <c r="E25" s="22">
        <v>12103000</v>
      </c>
      <c r="F25" s="331">
        <v>15000000</v>
      </c>
      <c r="G25" s="331">
        <f t="shared" si="0"/>
        <v>2897000</v>
      </c>
      <c r="H25" s="171"/>
      <c r="I25" s="171"/>
    </row>
    <row r="26" spans="2:9" s="16" customFormat="1" ht="24.95" customHeight="1">
      <c r="B26" s="31">
        <v>19</v>
      </c>
      <c r="C26" s="346" t="s">
        <v>1672</v>
      </c>
      <c r="D26" s="349" t="s">
        <v>1673</v>
      </c>
      <c r="E26" s="22">
        <v>8628000</v>
      </c>
      <c r="F26" s="331">
        <v>100000000</v>
      </c>
      <c r="G26" s="331">
        <f t="shared" si="0"/>
        <v>91372000</v>
      </c>
      <c r="H26" s="171"/>
      <c r="I26" s="171"/>
    </row>
    <row r="27" spans="2:9" s="16" customFormat="1" ht="24.95" customHeight="1">
      <c r="B27" s="31">
        <v>20</v>
      </c>
      <c r="C27" s="346" t="s">
        <v>1674</v>
      </c>
      <c r="D27" s="349" t="s">
        <v>1679</v>
      </c>
      <c r="E27" s="22">
        <v>12636939</v>
      </c>
      <c r="F27" s="331">
        <v>140000000</v>
      </c>
      <c r="G27" s="331">
        <f t="shared" si="0"/>
        <v>127363061</v>
      </c>
      <c r="H27" s="171"/>
      <c r="I27" s="171"/>
    </row>
    <row r="28" spans="2:9" s="16" customFormat="1" ht="24.95" customHeight="1">
      <c r="B28" s="31">
        <v>21</v>
      </c>
      <c r="C28" s="346" t="s">
        <v>1675</v>
      </c>
      <c r="D28" s="349" t="s">
        <v>1676</v>
      </c>
      <c r="E28" s="22">
        <v>2000000</v>
      </c>
      <c r="F28" s="331">
        <v>3000000</v>
      </c>
      <c r="G28" s="331">
        <f t="shared" si="0"/>
        <v>1000000</v>
      </c>
      <c r="H28" s="171"/>
      <c r="I28" s="171"/>
    </row>
    <row r="29" spans="2:9" s="16" customFormat="1" ht="24.95" customHeight="1">
      <c r="B29" s="31">
        <v>22</v>
      </c>
      <c r="C29" s="346" t="s">
        <v>1685</v>
      </c>
      <c r="D29" s="349" t="s">
        <v>1686</v>
      </c>
      <c r="E29" s="22">
        <v>53600000</v>
      </c>
      <c r="F29" s="331"/>
      <c r="G29" s="331"/>
      <c r="H29" s="171"/>
      <c r="I29" s="171"/>
    </row>
    <row r="30" spans="2:9" s="16" customFormat="1" ht="24.95" customHeight="1">
      <c r="B30" s="31">
        <v>23</v>
      </c>
      <c r="C30" s="346" t="s">
        <v>1687</v>
      </c>
      <c r="D30" s="349" t="s">
        <v>1686</v>
      </c>
      <c r="E30" s="22">
        <v>20000000</v>
      </c>
      <c r="F30" s="331">
        <v>2000000000</v>
      </c>
      <c r="G30" s="331">
        <f>F30-E29-E30-E31-E32-E33</f>
        <v>1900800000</v>
      </c>
      <c r="H30" s="171"/>
      <c r="I30" s="171"/>
    </row>
    <row r="31" spans="2:9" s="16" customFormat="1" ht="24.95" customHeight="1">
      <c r="B31" s="31">
        <v>24</v>
      </c>
      <c r="C31" s="346" t="s">
        <v>1688</v>
      </c>
      <c r="D31" s="349" t="s">
        <v>1686</v>
      </c>
      <c r="E31" s="22">
        <v>17000000</v>
      </c>
      <c r="F31" s="331"/>
      <c r="G31" s="331"/>
      <c r="H31" s="171"/>
      <c r="I31" s="171"/>
    </row>
    <row r="32" spans="2:9" s="16" customFormat="1" ht="24.95" customHeight="1">
      <c r="B32" s="31">
        <v>25</v>
      </c>
      <c r="C32" s="346" t="s">
        <v>1689</v>
      </c>
      <c r="D32" s="349" t="s">
        <v>1686</v>
      </c>
      <c r="E32" s="22">
        <v>6600000</v>
      </c>
      <c r="F32" s="331"/>
      <c r="G32" s="331"/>
      <c r="H32" s="171"/>
      <c r="I32" s="171"/>
    </row>
    <row r="33" spans="2:9" s="16" customFormat="1" ht="24.95" customHeight="1">
      <c r="B33" s="31">
        <v>26</v>
      </c>
      <c r="C33" s="346" t="s">
        <v>1690</v>
      </c>
      <c r="D33" s="349" t="s">
        <v>1686</v>
      </c>
      <c r="E33" s="22">
        <v>2000000</v>
      </c>
      <c r="F33" s="331"/>
      <c r="G33" s="331"/>
      <c r="H33" s="171"/>
      <c r="I33" s="171"/>
    </row>
    <row r="34" spans="2:9" s="16" customFormat="1" ht="24.95" customHeight="1">
      <c r="B34" s="31">
        <v>27</v>
      </c>
      <c r="C34" s="346" t="s">
        <v>1691</v>
      </c>
      <c r="D34" s="515" t="s">
        <v>1692</v>
      </c>
      <c r="E34" s="22">
        <f>325919850-56511850</f>
        <v>269408000</v>
      </c>
      <c r="F34" s="331"/>
      <c r="G34" s="331"/>
      <c r="H34" s="171"/>
      <c r="I34" s="171"/>
    </row>
    <row r="35" spans="2:9" s="16" customFormat="1" ht="24.95" customHeight="1">
      <c r="B35" s="31">
        <v>28</v>
      </c>
      <c r="C35" s="346" t="s">
        <v>1693</v>
      </c>
      <c r="D35" s="515" t="s">
        <v>1694</v>
      </c>
      <c r="E35" s="22">
        <v>257902300</v>
      </c>
      <c r="F35" s="331">
        <v>765000000</v>
      </c>
      <c r="G35" s="331">
        <f>F35-E34-E35-E36-E37</f>
        <v>84226290</v>
      </c>
      <c r="H35" s="171"/>
      <c r="I35" s="171"/>
    </row>
    <row r="36" spans="2:9" s="16" customFormat="1" ht="24.95" customHeight="1">
      <c r="B36" s="31">
        <v>29</v>
      </c>
      <c r="C36" s="346" t="s">
        <v>1695</v>
      </c>
      <c r="D36" s="515" t="s">
        <v>1694</v>
      </c>
      <c r="E36" s="22">
        <v>105000000</v>
      </c>
      <c r="F36" s="22"/>
      <c r="G36" s="331"/>
      <c r="H36" s="171"/>
      <c r="I36" s="171"/>
    </row>
    <row r="37" spans="2:9" s="16" customFormat="1" ht="24.95" customHeight="1">
      <c r="B37" s="31">
        <v>30</v>
      </c>
      <c r="C37" s="346" t="s">
        <v>1696</v>
      </c>
      <c r="D37" s="515" t="s">
        <v>1694</v>
      </c>
      <c r="E37" s="22">
        <v>48463410</v>
      </c>
      <c r="F37" s="22"/>
      <c r="G37" s="331"/>
      <c r="H37" s="171"/>
      <c r="I37" s="171"/>
    </row>
    <row r="38" spans="2:9" s="14" customFormat="1" ht="24.95" customHeight="1">
      <c r="B38" s="141"/>
      <c r="C38" s="521" t="s">
        <v>65</v>
      </c>
      <c r="D38" s="522"/>
      <c r="E38" s="245">
        <f>SUM(E8:E37)</f>
        <v>1278714615.9000001</v>
      </c>
      <c r="F38" s="245">
        <f>SUM(F8:F37)</f>
        <v>3910500000</v>
      </c>
      <c r="G38" s="245">
        <f>SUM(G8:G37)</f>
        <v>2711216338.5999999</v>
      </c>
      <c r="H38" s="301"/>
      <c r="I38" s="301"/>
    </row>
    <row r="39" spans="2:9" ht="23.1" customHeight="1"/>
    <row r="40" spans="2:9" ht="23.1" customHeight="1"/>
    <row r="41" spans="2:9" ht="23.1" customHeight="1">
      <c r="E41" s="394"/>
    </row>
    <row r="42" spans="2:9" ht="23.1" customHeight="1"/>
    <row r="43" spans="2:9" ht="23.1" customHeight="1"/>
    <row r="44" spans="2:9" ht="23.1" customHeight="1"/>
    <row r="45" spans="2:9" ht="23.1" customHeight="1"/>
    <row r="46" spans="2:9" ht="23.1" customHeight="1"/>
    <row r="47" spans="2:9" ht="23.1" customHeight="1"/>
    <row r="48" spans="2:9" ht="23.1" customHeight="1"/>
    <row r="49" ht="23.1" customHeight="1"/>
    <row r="50" ht="23.1" customHeight="1"/>
    <row r="51" ht="23.1" customHeight="1"/>
    <row r="52" ht="23.1" customHeight="1"/>
    <row r="53" ht="23.1" customHeight="1"/>
    <row r="54" ht="23.1" customHeight="1"/>
    <row r="55" ht="23.1" customHeight="1"/>
    <row r="56" ht="23.1" customHeight="1"/>
    <row r="57" ht="23.1" customHeight="1"/>
    <row r="58" ht="23.1" customHeight="1"/>
    <row r="59" ht="23.1" customHeight="1"/>
    <row r="60" ht="23.1" customHeight="1"/>
    <row r="61" ht="23.1" customHeight="1"/>
    <row r="62" ht="23.1" customHeight="1"/>
    <row r="63" ht="23.1" customHeight="1"/>
    <row r="64" ht="23.1" customHeight="1"/>
    <row r="65" ht="23.1" customHeight="1"/>
    <row r="66" ht="23.1" customHeight="1"/>
    <row r="67" ht="23.1" customHeight="1"/>
    <row r="68" ht="23.1" customHeight="1"/>
    <row r="69" ht="23.1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</sheetData>
  <mergeCells count="4">
    <mergeCell ref="B1:H1"/>
    <mergeCell ref="B2:H2"/>
    <mergeCell ref="B3:H3"/>
    <mergeCell ref="B4:H4"/>
  </mergeCells>
  <pageMargins left="0.5" right="0.5" top="0.75" bottom="0.75" header="0.3" footer="0.5"/>
  <pageSetup paperSize="9" firstPageNumber="117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C6" sqref="C6"/>
    </sheetView>
  </sheetViews>
  <sheetFormatPr defaultRowHeight="15"/>
  <cols>
    <col min="1" max="1" width="2.85546875" style="142" customWidth="1"/>
    <col min="2" max="2" width="20.85546875" style="170" customWidth="1"/>
    <col min="3" max="3" width="17.28515625" style="151" customWidth="1"/>
    <col min="4" max="4" width="17.42578125" style="170" customWidth="1"/>
    <col min="5" max="5" width="16.7109375" style="170" customWidth="1"/>
    <col min="6" max="6" width="20.5703125" style="170" customWidth="1"/>
    <col min="7" max="7" width="18.28515625" style="170" customWidth="1"/>
    <col min="8" max="8" width="18.42578125" style="171" customWidth="1"/>
    <col min="9" max="9" width="9.140625" style="142"/>
  </cols>
  <sheetData>
    <row r="1" spans="1:11" s="101" customFormat="1" ht="21.95" customHeight="1">
      <c r="A1" s="142"/>
      <c r="B1" s="599" t="s">
        <v>0</v>
      </c>
      <c r="C1" s="599"/>
      <c r="D1" s="599"/>
      <c r="E1" s="599"/>
      <c r="F1" s="599"/>
      <c r="G1" s="599"/>
      <c r="H1" s="599"/>
      <c r="I1" s="599"/>
      <c r="J1" s="16"/>
    </row>
    <row r="2" spans="1:11" s="101" customFormat="1" ht="21.95" customHeight="1">
      <c r="A2" s="142"/>
      <c r="B2" s="600" t="s">
        <v>1571</v>
      </c>
      <c r="C2" s="600"/>
      <c r="D2" s="600"/>
      <c r="E2" s="600"/>
      <c r="F2" s="600"/>
      <c r="G2" s="600"/>
      <c r="H2" s="600"/>
      <c r="I2" s="600"/>
      <c r="J2" s="16"/>
    </row>
    <row r="3" spans="1:11" s="101" customFormat="1" ht="21.95" customHeight="1">
      <c r="A3" s="142"/>
      <c r="B3" s="600" t="s">
        <v>336</v>
      </c>
      <c r="C3" s="600"/>
      <c r="D3" s="600"/>
      <c r="E3" s="600"/>
      <c r="F3" s="600"/>
      <c r="G3" s="600"/>
      <c r="H3" s="600"/>
      <c r="I3" s="600"/>
      <c r="J3" s="102"/>
      <c r="K3" s="102"/>
    </row>
    <row r="4" spans="1:11" s="101" customFormat="1" ht="21.95" customHeight="1">
      <c r="A4" s="142"/>
      <c r="B4" s="599" t="s">
        <v>1932</v>
      </c>
      <c r="C4" s="599"/>
      <c r="D4" s="599"/>
      <c r="E4" s="599"/>
      <c r="F4" s="599"/>
      <c r="G4" s="599"/>
      <c r="H4" s="599"/>
      <c r="I4" s="599"/>
      <c r="J4" s="103"/>
      <c r="K4" s="103"/>
    </row>
    <row r="5" spans="1:11" ht="12.75" customHeight="1"/>
    <row r="6" spans="1:11" ht="28.5" customHeight="1">
      <c r="B6" s="179"/>
      <c r="C6" s="179" t="s">
        <v>722</v>
      </c>
      <c r="D6" s="179" t="s">
        <v>723</v>
      </c>
      <c r="E6" s="179" t="s">
        <v>724</v>
      </c>
      <c r="F6" s="179" t="s">
        <v>725</v>
      </c>
      <c r="G6" s="179" t="s">
        <v>726</v>
      </c>
      <c r="H6" s="179" t="s">
        <v>65</v>
      </c>
    </row>
    <row r="7" spans="1:11" ht="28.5" customHeight="1">
      <c r="B7" s="179" t="s">
        <v>727</v>
      </c>
      <c r="C7" s="387">
        <v>0.05</v>
      </c>
      <c r="D7" s="387">
        <v>0.05</v>
      </c>
      <c r="E7" s="387">
        <v>0.1</v>
      </c>
      <c r="F7" s="387">
        <v>0.2</v>
      </c>
      <c r="G7" s="387">
        <v>0.25</v>
      </c>
      <c r="H7" s="387"/>
    </row>
    <row r="8" spans="1:11" ht="24.95" customHeight="1">
      <c r="B8" s="179"/>
      <c r="C8" s="182" t="s">
        <v>1458</v>
      </c>
      <c r="D8" s="182" t="s">
        <v>1458</v>
      </c>
      <c r="E8" s="182" t="s">
        <v>1458</v>
      </c>
      <c r="F8" s="182" t="s">
        <v>1458</v>
      </c>
      <c r="G8" s="182" t="s">
        <v>1458</v>
      </c>
      <c r="H8" s="182" t="s">
        <v>1458</v>
      </c>
    </row>
    <row r="9" spans="1:11" ht="24.95" customHeight="1">
      <c r="B9" s="262" t="s">
        <v>1473</v>
      </c>
      <c r="C9" s="331">
        <v>0</v>
      </c>
      <c r="D9" s="331">
        <v>0</v>
      </c>
      <c r="E9" s="331">
        <v>0</v>
      </c>
      <c r="F9" s="331">
        <v>0</v>
      </c>
      <c r="G9" s="331">
        <v>0</v>
      </c>
      <c r="H9" s="395">
        <f>SUM(C9:G9)</f>
        <v>0</v>
      </c>
    </row>
    <row r="10" spans="1:11" s="4" customFormat="1" ht="24.95" customHeight="1">
      <c r="A10" s="204"/>
      <c r="B10" s="41" t="s">
        <v>718</v>
      </c>
      <c r="C10" s="331">
        <v>0</v>
      </c>
      <c r="D10" s="331">
        <v>0</v>
      </c>
      <c r="E10" s="331">
        <v>0</v>
      </c>
      <c r="F10" s="331">
        <v>0</v>
      </c>
      <c r="G10" s="331">
        <v>0</v>
      </c>
      <c r="H10" s="395">
        <f>SUM(C10:G10)</f>
        <v>0</v>
      </c>
      <c r="I10" s="204"/>
    </row>
    <row r="11" spans="1:11" s="26" customFormat="1" ht="24.95" customHeight="1">
      <c r="A11" s="263"/>
      <c r="B11" s="41" t="s">
        <v>719</v>
      </c>
      <c r="C11" s="331">
        <v>0</v>
      </c>
      <c r="D11" s="331">
        <v>0</v>
      </c>
      <c r="E11" s="331">
        <v>0</v>
      </c>
      <c r="F11" s="331">
        <v>0</v>
      </c>
      <c r="G11" s="331">
        <v>0</v>
      </c>
      <c r="H11" s="395">
        <f>SUM(C11:G11)</f>
        <v>0</v>
      </c>
      <c r="I11" s="263"/>
    </row>
    <row r="12" spans="1:11" s="26" customFormat="1" ht="24.95" customHeight="1">
      <c r="A12" s="263"/>
      <c r="B12" s="41" t="s">
        <v>720</v>
      </c>
      <c r="C12" s="331">
        <v>0</v>
      </c>
      <c r="D12" s="331">
        <v>0</v>
      </c>
      <c r="E12" s="331">
        <v>0</v>
      </c>
      <c r="F12" s="331">
        <v>0</v>
      </c>
      <c r="G12" s="331">
        <v>0</v>
      </c>
      <c r="H12" s="395">
        <f>SUM(C12:G12)</f>
        <v>0</v>
      </c>
      <c r="I12" s="263"/>
    </row>
    <row r="13" spans="1:11" s="30" customFormat="1" ht="24.95" customHeight="1">
      <c r="A13" s="352"/>
      <c r="B13" s="49" t="s">
        <v>1581</v>
      </c>
      <c r="C13" s="296">
        <f>SUM(C9:C12)</f>
        <v>0</v>
      </c>
      <c r="D13" s="296">
        <f>SUM(D9:D12)</f>
        <v>0</v>
      </c>
      <c r="E13" s="296">
        <f>SUM(E9:E12)</f>
        <v>0</v>
      </c>
      <c r="F13" s="296">
        <f>SUM(F9:F12)</f>
        <v>0</v>
      </c>
      <c r="G13" s="296">
        <f>SUM(G9:G12)</f>
        <v>0</v>
      </c>
      <c r="H13" s="395">
        <f>SUM(C13:G13)</f>
        <v>0</v>
      </c>
      <c r="I13" s="352"/>
    </row>
    <row r="14" spans="1:11" s="27" customFormat="1" ht="24.95" customHeight="1">
      <c r="A14" s="265"/>
      <c r="B14" s="41"/>
      <c r="C14" s="13"/>
      <c r="D14" s="143"/>
      <c r="E14" s="143"/>
      <c r="F14" s="143"/>
      <c r="G14" s="143"/>
      <c r="H14" s="319"/>
      <c r="I14" s="265"/>
    </row>
    <row r="15" spans="1:11" s="27" customFormat="1" ht="24.95" customHeight="1">
      <c r="A15" s="265"/>
      <c r="B15" s="41" t="s">
        <v>1643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62">
        <f>SUM(C15:G15)</f>
        <v>0</v>
      </c>
      <c r="I15" s="265"/>
    </row>
    <row r="16" spans="1:11" s="27" customFormat="1" ht="24.95" customHeight="1">
      <c r="A16" s="265"/>
      <c r="B16" s="41" t="s">
        <v>721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62">
        <f>SUM(C16:G16)</f>
        <v>0</v>
      </c>
      <c r="I16" s="265"/>
    </row>
    <row r="17" spans="1:9" s="27" customFormat="1" ht="24.95" customHeight="1">
      <c r="A17" s="265"/>
      <c r="B17" s="41" t="s">
        <v>719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62">
        <f>SUM(C17:G17)</f>
        <v>0</v>
      </c>
      <c r="I17" s="265"/>
    </row>
    <row r="18" spans="1:9" s="27" customFormat="1" ht="24.95" customHeight="1">
      <c r="A18" s="265"/>
      <c r="B18" s="41" t="s">
        <v>720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62">
        <f>SUM(C18:G18)</f>
        <v>0</v>
      </c>
      <c r="I18" s="265"/>
    </row>
    <row r="19" spans="1:9" s="27" customFormat="1" ht="24.95" customHeight="1">
      <c r="A19" s="265"/>
      <c r="B19" s="41" t="s">
        <v>1582</v>
      </c>
      <c r="C19" s="13">
        <f>SUM(C15:C18)</f>
        <v>0</v>
      </c>
      <c r="D19" s="13">
        <f>SUM(D15:D18)</f>
        <v>0</v>
      </c>
      <c r="E19" s="13">
        <f>SUM(E15:E18)</f>
        <v>0</v>
      </c>
      <c r="F19" s="13">
        <f>SUM(F15:F18)</f>
        <v>0</v>
      </c>
      <c r="G19" s="13">
        <f>SUM(G15:G18)</f>
        <v>0</v>
      </c>
      <c r="H19" s="162">
        <f>SUM(C19:G19)</f>
        <v>0</v>
      </c>
      <c r="I19" s="265"/>
    </row>
    <row r="20" spans="1:9" s="27" customFormat="1" ht="24.95" customHeight="1">
      <c r="A20" s="265"/>
      <c r="B20" s="41" t="s">
        <v>1583</v>
      </c>
      <c r="C20" s="13">
        <f t="shared" ref="C20:H20" si="0">C13-C19</f>
        <v>0</v>
      </c>
      <c r="D20" s="13">
        <f t="shared" si="0"/>
        <v>0</v>
      </c>
      <c r="E20" s="13">
        <f t="shared" si="0"/>
        <v>0</v>
      </c>
      <c r="F20" s="13">
        <f t="shared" si="0"/>
        <v>0</v>
      </c>
      <c r="G20" s="13">
        <f t="shared" si="0"/>
        <v>0</v>
      </c>
      <c r="H20" s="13">
        <f t="shared" si="0"/>
        <v>0</v>
      </c>
      <c r="I20" s="265"/>
    </row>
  </sheetData>
  <mergeCells count="4">
    <mergeCell ref="B1:I1"/>
    <mergeCell ref="B2:I2"/>
    <mergeCell ref="B3:I3"/>
    <mergeCell ref="B4:I4"/>
  </mergeCells>
  <pageMargins left="0.5" right="0.5" top="0.75" bottom="0.5" header="0.3" footer="0.5"/>
  <pageSetup paperSize="9" firstPageNumber="58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8"/>
  <sheetViews>
    <sheetView topLeftCell="A105" workbookViewId="0">
      <selection activeCell="A115" sqref="A115:H118"/>
    </sheetView>
  </sheetViews>
  <sheetFormatPr defaultRowHeight="15"/>
  <cols>
    <col min="1" max="1" width="2.85546875" style="142" customWidth="1"/>
    <col min="2" max="2" width="9.42578125" style="191" customWidth="1"/>
    <col min="3" max="3" width="17.28515625" style="171" customWidth="1"/>
    <col min="4" max="4" width="11.85546875" style="170" customWidth="1"/>
    <col min="5" max="5" width="37.7109375" style="302" customWidth="1"/>
    <col min="6" max="7" width="17.42578125" style="302" customWidth="1"/>
    <col min="8" max="8" width="18.42578125" style="303" customWidth="1"/>
    <col min="9" max="10" width="14.42578125" style="171" hidden="1" customWidth="1"/>
    <col min="11" max="11" width="15" style="142" hidden="1" customWidth="1"/>
    <col min="12" max="12" width="9.140625" style="142"/>
    <col min="13" max="13" width="18" style="127" bestFit="1" customWidth="1"/>
    <col min="14" max="16384" width="9.140625" style="127"/>
  </cols>
  <sheetData>
    <row r="1" spans="2:11" ht="21.95" customHeight="1">
      <c r="B1" s="599" t="s">
        <v>0</v>
      </c>
      <c r="C1" s="599"/>
      <c r="D1" s="599"/>
      <c r="E1" s="599"/>
      <c r="F1" s="599"/>
      <c r="G1" s="599"/>
      <c r="H1" s="599"/>
    </row>
    <row r="2" spans="2:11" ht="21.95" customHeight="1">
      <c r="B2" s="600" t="s">
        <v>1571</v>
      </c>
      <c r="C2" s="600"/>
      <c r="D2" s="600"/>
      <c r="E2" s="600"/>
      <c r="F2" s="600"/>
      <c r="G2" s="600"/>
      <c r="H2" s="600"/>
    </row>
    <row r="3" spans="2:11" ht="21.95" customHeight="1">
      <c r="B3" s="600" t="s">
        <v>336</v>
      </c>
      <c r="C3" s="600"/>
      <c r="D3" s="600"/>
      <c r="E3" s="600"/>
      <c r="F3" s="600"/>
      <c r="G3" s="600"/>
      <c r="H3" s="600"/>
      <c r="I3" s="298"/>
      <c r="J3" s="298"/>
      <c r="K3" s="298"/>
    </row>
    <row r="4" spans="2:11" ht="21.95" customHeight="1">
      <c r="B4" s="599" t="s">
        <v>1933</v>
      </c>
      <c r="C4" s="599"/>
      <c r="D4" s="599"/>
      <c r="E4" s="599"/>
      <c r="F4" s="599"/>
      <c r="G4" s="599"/>
      <c r="H4" s="599"/>
      <c r="I4" s="299"/>
      <c r="J4" s="299"/>
      <c r="K4" s="299"/>
    </row>
    <row r="5" spans="2:11" ht="12.75" customHeight="1">
      <c r="B5" s="300"/>
      <c r="C5" s="301"/>
    </row>
    <row r="6" spans="2:11" ht="24.95" customHeight="1">
      <c r="B6" s="304" t="s">
        <v>87</v>
      </c>
      <c r="C6" s="305" t="s">
        <v>88</v>
      </c>
      <c r="D6" s="305" t="s">
        <v>89</v>
      </c>
      <c r="E6" s="305" t="s">
        <v>337</v>
      </c>
      <c r="F6" s="304" t="s">
        <v>92</v>
      </c>
      <c r="G6" s="306" t="s">
        <v>91</v>
      </c>
      <c r="H6" s="304" t="s">
        <v>93</v>
      </c>
      <c r="I6" s="307"/>
      <c r="J6" s="308"/>
      <c r="K6" s="309"/>
    </row>
    <row r="7" spans="2:11" ht="21" customHeight="1">
      <c r="B7" s="141"/>
      <c r="C7" s="242"/>
      <c r="D7" s="242"/>
      <c r="E7" s="242"/>
      <c r="F7" s="182" t="s">
        <v>1458</v>
      </c>
      <c r="G7" s="182" t="s">
        <v>1458</v>
      </c>
      <c r="H7" s="182" t="s">
        <v>1458</v>
      </c>
      <c r="I7" s="310"/>
      <c r="J7" s="310"/>
      <c r="K7" s="310"/>
    </row>
    <row r="8" spans="2:11" ht="21" customHeight="1">
      <c r="B8" s="141"/>
      <c r="C8" s="242"/>
      <c r="D8" s="242"/>
      <c r="E8" s="311" t="s">
        <v>90</v>
      </c>
      <c r="F8" s="242"/>
      <c r="G8" s="242"/>
      <c r="H8" s="242"/>
      <c r="I8" s="310"/>
      <c r="J8" s="310"/>
      <c r="K8" s="310"/>
    </row>
    <row r="9" spans="2:11" ht="21" customHeight="1">
      <c r="B9" s="143">
        <v>1</v>
      </c>
      <c r="C9" s="56">
        <v>11100100100</v>
      </c>
      <c r="D9" s="57" t="s">
        <v>94</v>
      </c>
      <c r="E9" s="312" t="s">
        <v>95</v>
      </c>
      <c r="F9" s="313">
        <v>123164954.05</v>
      </c>
      <c r="G9" s="313">
        <v>146922354.30000001</v>
      </c>
      <c r="H9" s="162">
        <f>G9-F9</f>
        <v>23757400.250000015</v>
      </c>
      <c r="I9" s="24"/>
      <c r="J9" s="24"/>
      <c r="K9" s="314"/>
    </row>
    <row r="10" spans="2:11" ht="21" customHeight="1">
      <c r="B10" s="143">
        <v>2</v>
      </c>
      <c r="C10" s="58" t="s">
        <v>96</v>
      </c>
      <c r="D10" s="57" t="s">
        <v>97</v>
      </c>
      <c r="E10" s="312" t="s">
        <v>98</v>
      </c>
      <c r="F10" s="313">
        <v>43303685.600000001</v>
      </c>
      <c r="G10" s="313">
        <v>54968843.390000001</v>
      </c>
      <c r="H10" s="162">
        <f t="shared" ref="H10:H56" si="0">G10-F10</f>
        <v>11665157.789999999</v>
      </c>
      <c r="I10" s="24"/>
      <c r="J10" s="24"/>
      <c r="K10" s="314"/>
    </row>
    <row r="11" spans="2:11" ht="21" customHeight="1">
      <c r="B11" s="143">
        <v>3</v>
      </c>
      <c r="C11" s="58" t="s">
        <v>99</v>
      </c>
      <c r="D11" s="57" t="s">
        <v>100</v>
      </c>
      <c r="E11" s="312" t="s">
        <v>101</v>
      </c>
      <c r="F11" s="313">
        <v>9191241.0700000003</v>
      </c>
      <c r="G11" s="313">
        <v>15276507.75</v>
      </c>
      <c r="H11" s="162">
        <f t="shared" si="0"/>
        <v>6085266.6799999997</v>
      </c>
      <c r="I11" s="24"/>
      <c r="J11" s="24"/>
      <c r="K11" s="314"/>
    </row>
    <row r="12" spans="2:11" ht="21" customHeight="1">
      <c r="B12" s="143">
        <v>4</v>
      </c>
      <c r="C12" s="58" t="s">
        <v>102</v>
      </c>
      <c r="D12" s="57" t="s">
        <v>103</v>
      </c>
      <c r="E12" s="312" t="s">
        <v>104</v>
      </c>
      <c r="F12" s="313">
        <v>15229126.77</v>
      </c>
      <c r="G12" s="313">
        <v>16017042.77</v>
      </c>
      <c r="H12" s="162">
        <f t="shared" si="0"/>
        <v>787916</v>
      </c>
      <c r="I12" s="24"/>
      <c r="J12" s="24"/>
      <c r="K12" s="314"/>
    </row>
    <row r="13" spans="2:11" ht="21" customHeight="1">
      <c r="B13" s="143">
        <v>5</v>
      </c>
      <c r="C13" s="58" t="s">
        <v>105</v>
      </c>
      <c r="D13" s="57" t="s">
        <v>106</v>
      </c>
      <c r="E13" s="312" t="s">
        <v>107</v>
      </c>
      <c r="F13" s="313">
        <v>57803946.359999999</v>
      </c>
      <c r="G13" s="313">
        <v>43048788.350000001</v>
      </c>
      <c r="H13" s="162">
        <f t="shared" si="0"/>
        <v>-14755158.009999998</v>
      </c>
      <c r="I13" s="24"/>
      <c r="J13" s="24"/>
      <c r="K13" s="314"/>
    </row>
    <row r="14" spans="2:11" ht="21" customHeight="1">
      <c r="B14" s="143">
        <v>6</v>
      </c>
      <c r="C14" s="58" t="s">
        <v>105</v>
      </c>
      <c r="D14" s="57" t="s">
        <v>108</v>
      </c>
      <c r="E14" s="312" t="s">
        <v>1481</v>
      </c>
      <c r="F14" s="313">
        <v>684778618.64999998</v>
      </c>
      <c r="G14" s="313">
        <v>851641200.57000005</v>
      </c>
      <c r="H14" s="162">
        <f t="shared" si="0"/>
        <v>166862581.92000008</v>
      </c>
      <c r="I14" s="24"/>
      <c r="J14" s="24"/>
      <c r="K14" s="314"/>
    </row>
    <row r="15" spans="2:11" ht="21" customHeight="1">
      <c r="B15" s="143">
        <v>7</v>
      </c>
      <c r="C15" s="58" t="s">
        <v>110</v>
      </c>
      <c r="D15" s="57" t="s">
        <v>111</v>
      </c>
      <c r="E15" s="312" t="s">
        <v>112</v>
      </c>
      <c r="F15" s="315">
        <v>8148856.3099999996</v>
      </c>
      <c r="G15" s="315">
        <v>15525044.710000001</v>
      </c>
      <c r="H15" s="162">
        <f t="shared" si="0"/>
        <v>7376188.4000000013</v>
      </c>
      <c r="I15" s="24"/>
      <c r="J15" s="24"/>
      <c r="K15" s="314"/>
    </row>
    <row r="16" spans="2:11" ht="21" customHeight="1">
      <c r="B16" s="143">
        <v>8</v>
      </c>
      <c r="C16" s="58" t="s">
        <v>113</v>
      </c>
      <c r="D16" s="57" t="s">
        <v>114</v>
      </c>
      <c r="E16" s="312" t="s">
        <v>115</v>
      </c>
      <c r="F16" s="315">
        <v>10952146.539999999</v>
      </c>
      <c r="G16" s="315">
        <v>15945744.449999999</v>
      </c>
      <c r="H16" s="162">
        <f t="shared" si="0"/>
        <v>4993597.91</v>
      </c>
      <c r="I16" s="24"/>
      <c r="J16" s="24"/>
      <c r="K16" s="314"/>
    </row>
    <row r="17" spans="1:12" ht="21" customHeight="1">
      <c r="B17" s="143">
        <v>9</v>
      </c>
      <c r="C17" s="58" t="s">
        <v>116</v>
      </c>
      <c r="D17" s="57" t="s">
        <v>117</v>
      </c>
      <c r="E17" s="312" t="s">
        <v>118</v>
      </c>
      <c r="F17" s="315">
        <v>9766017.8000000007</v>
      </c>
      <c r="G17" s="315">
        <v>17206254.41</v>
      </c>
      <c r="H17" s="162">
        <f t="shared" si="0"/>
        <v>7440236.6099999994</v>
      </c>
      <c r="I17" s="24"/>
      <c r="J17" s="24"/>
      <c r="K17" s="314"/>
    </row>
    <row r="18" spans="1:12" ht="21" customHeight="1">
      <c r="B18" s="143">
        <v>10</v>
      </c>
      <c r="C18" s="58" t="s">
        <v>119</v>
      </c>
      <c r="D18" s="57" t="s">
        <v>120</v>
      </c>
      <c r="E18" s="312" t="s">
        <v>121</v>
      </c>
      <c r="F18" s="315">
        <v>13794479.6</v>
      </c>
      <c r="G18" s="315">
        <v>19393964.699999999</v>
      </c>
      <c r="H18" s="162">
        <f t="shared" si="0"/>
        <v>5599485.0999999996</v>
      </c>
      <c r="I18" s="24"/>
      <c r="J18" s="24"/>
      <c r="K18" s="314"/>
    </row>
    <row r="19" spans="1:12" ht="21" customHeight="1">
      <c r="B19" s="143">
        <v>11</v>
      </c>
      <c r="C19" s="58" t="s">
        <v>122</v>
      </c>
      <c r="D19" s="57" t="s">
        <v>123</v>
      </c>
      <c r="E19" s="312" t="s">
        <v>124</v>
      </c>
      <c r="F19" s="315"/>
      <c r="G19" s="315">
        <v>89559.86</v>
      </c>
      <c r="H19" s="162">
        <f t="shared" si="0"/>
        <v>89559.86</v>
      </c>
      <c r="I19" s="24"/>
      <c r="J19" s="24"/>
      <c r="K19" s="314"/>
    </row>
    <row r="20" spans="1:12" ht="21" customHeight="1">
      <c r="B20" s="143">
        <v>12</v>
      </c>
      <c r="C20" s="58" t="s">
        <v>125</v>
      </c>
      <c r="D20" s="57" t="s">
        <v>126</v>
      </c>
      <c r="E20" s="312" t="s">
        <v>828</v>
      </c>
      <c r="F20" s="315">
        <v>144615918.03</v>
      </c>
      <c r="G20" s="315">
        <v>164956503.91999999</v>
      </c>
      <c r="H20" s="162">
        <f t="shared" si="0"/>
        <v>20340585.889999986</v>
      </c>
      <c r="I20" s="24"/>
      <c r="J20" s="24"/>
      <c r="K20" s="314"/>
    </row>
    <row r="21" spans="1:12" ht="21" customHeight="1">
      <c r="B21" s="143">
        <v>13</v>
      </c>
      <c r="C21" s="58" t="s">
        <v>128</v>
      </c>
      <c r="D21" s="57" t="s">
        <v>129</v>
      </c>
      <c r="E21" s="316" t="s">
        <v>130</v>
      </c>
      <c r="F21" s="315">
        <v>36675891.789999999</v>
      </c>
      <c r="G21" s="315">
        <v>49726623.590000004</v>
      </c>
      <c r="H21" s="162">
        <f t="shared" si="0"/>
        <v>13050731.800000004</v>
      </c>
      <c r="I21" s="317"/>
      <c r="J21" s="317"/>
      <c r="K21" s="317"/>
    </row>
    <row r="22" spans="1:12" s="4" customFormat="1" ht="21" customHeight="1">
      <c r="A22" s="204"/>
      <c r="B22" s="143">
        <v>14</v>
      </c>
      <c r="C22" s="58" t="s">
        <v>131</v>
      </c>
      <c r="D22" s="57" t="s">
        <v>132</v>
      </c>
      <c r="E22" s="316" t="s">
        <v>133</v>
      </c>
      <c r="F22" s="315">
        <v>4821244.32</v>
      </c>
      <c r="G22" s="315">
        <v>18338382.48</v>
      </c>
      <c r="H22" s="162">
        <f t="shared" si="0"/>
        <v>13517138.16</v>
      </c>
      <c r="I22" s="251"/>
      <c r="J22" s="251"/>
      <c r="K22" s="204"/>
      <c r="L22" s="204"/>
    </row>
    <row r="23" spans="1:12" s="26" customFormat="1" ht="21" customHeight="1">
      <c r="A23" s="263"/>
      <c r="B23" s="143">
        <v>15</v>
      </c>
      <c r="C23" s="58" t="s">
        <v>134</v>
      </c>
      <c r="D23" s="57" t="s">
        <v>135</v>
      </c>
      <c r="E23" s="316" t="s">
        <v>136</v>
      </c>
      <c r="F23" s="315">
        <v>425614763.87</v>
      </c>
      <c r="G23" s="315">
        <v>486770123.80000001</v>
      </c>
      <c r="H23" s="162">
        <f t="shared" si="0"/>
        <v>61155359.930000007</v>
      </c>
      <c r="I23" s="263"/>
      <c r="J23" s="263"/>
      <c r="K23" s="263"/>
      <c r="L23" s="263"/>
    </row>
    <row r="24" spans="1:12" s="26" customFormat="1" ht="21" customHeight="1">
      <c r="A24" s="263"/>
      <c r="B24" s="143">
        <v>16</v>
      </c>
      <c r="C24" s="58" t="s">
        <v>137</v>
      </c>
      <c r="D24" s="57" t="s">
        <v>138</v>
      </c>
      <c r="E24" s="316" t="s">
        <v>909</v>
      </c>
      <c r="F24" s="315">
        <v>110119024.18000001</v>
      </c>
      <c r="G24" s="315">
        <v>120965562.93000001</v>
      </c>
      <c r="H24" s="162">
        <f t="shared" si="0"/>
        <v>10846538.75</v>
      </c>
      <c r="I24" s="263"/>
      <c r="J24" s="263"/>
      <c r="K24" s="263"/>
      <c r="L24" s="263"/>
    </row>
    <row r="25" spans="1:12" s="26" customFormat="1" ht="21" customHeight="1">
      <c r="A25" s="263"/>
      <c r="B25" s="143">
        <v>17</v>
      </c>
      <c r="C25" s="58" t="s">
        <v>140</v>
      </c>
      <c r="D25" s="57" t="s">
        <v>141</v>
      </c>
      <c r="E25" s="316" t="s">
        <v>142</v>
      </c>
      <c r="F25" s="315">
        <v>193352251.78999999</v>
      </c>
      <c r="G25" s="315">
        <v>194793745.31999999</v>
      </c>
      <c r="H25" s="162">
        <f t="shared" si="0"/>
        <v>1441493.5300000012</v>
      </c>
      <c r="I25" s="263"/>
      <c r="J25" s="263"/>
      <c r="K25" s="263"/>
      <c r="L25" s="263"/>
    </row>
    <row r="26" spans="1:12" s="26" customFormat="1" ht="21" customHeight="1">
      <c r="A26" s="263"/>
      <c r="B26" s="143">
        <v>18</v>
      </c>
      <c r="C26" s="58" t="s">
        <v>143</v>
      </c>
      <c r="D26" s="57" t="s">
        <v>144</v>
      </c>
      <c r="E26" s="316" t="s">
        <v>145</v>
      </c>
      <c r="F26" s="315">
        <v>88564045.909999996</v>
      </c>
      <c r="G26" s="315">
        <v>100000000</v>
      </c>
      <c r="H26" s="162">
        <f t="shared" si="0"/>
        <v>11435954.090000004</v>
      </c>
      <c r="I26" s="263"/>
      <c r="J26" s="263"/>
      <c r="K26" s="263"/>
      <c r="L26" s="263"/>
    </row>
    <row r="27" spans="1:12" s="26" customFormat="1" ht="21" customHeight="1">
      <c r="A27" s="263"/>
      <c r="B27" s="143">
        <v>19</v>
      </c>
      <c r="C27" s="58" t="s">
        <v>146</v>
      </c>
      <c r="D27" s="57" t="s">
        <v>147</v>
      </c>
      <c r="E27" s="316" t="s">
        <v>148</v>
      </c>
      <c r="F27" s="315">
        <v>86361733.840000004</v>
      </c>
      <c r="G27" s="315">
        <v>97606936.310000002</v>
      </c>
      <c r="H27" s="162">
        <f t="shared" si="0"/>
        <v>11245202.469999999</v>
      </c>
      <c r="I27" s="263"/>
      <c r="J27" s="263"/>
      <c r="K27" s="263"/>
      <c r="L27" s="263"/>
    </row>
    <row r="28" spans="1:12" s="26" customFormat="1" ht="21" customHeight="1">
      <c r="A28" s="263"/>
      <c r="B28" s="143">
        <v>20</v>
      </c>
      <c r="C28" s="58" t="s">
        <v>146</v>
      </c>
      <c r="D28" s="57" t="s">
        <v>149</v>
      </c>
      <c r="E28" s="316" t="s">
        <v>150</v>
      </c>
      <c r="F28" s="315">
        <v>43913186.520000003</v>
      </c>
      <c r="G28" s="380">
        <v>61845153.579999998</v>
      </c>
      <c r="H28" s="162">
        <f t="shared" si="0"/>
        <v>17931967.059999995</v>
      </c>
      <c r="I28" s="263"/>
      <c r="J28" s="263"/>
      <c r="K28" s="263"/>
      <c r="L28" s="263"/>
    </row>
    <row r="29" spans="1:12" s="26" customFormat="1" ht="21" customHeight="1">
      <c r="A29" s="263"/>
      <c r="B29" s="143">
        <v>21</v>
      </c>
      <c r="C29" s="58" t="s">
        <v>151</v>
      </c>
      <c r="D29" s="57" t="s">
        <v>152</v>
      </c>
      <c r="E29" s="318" t="s">
        <v>153</v>
      </c>
      <c r="F29" s="315">
        <v>44847412.450000003</v>
      </c>
      <c r="G29" s="315">
        <v>55883386.100000001</v>
      </c>
      <c r="H29" s="162">
        <f t="shared" si="0"/>
        <v>11035973.649999999</v>
      </c>
      <c r="I29" s="263"/>
      <c r="J29" s="263"/>
      <c r="K29" s="263"/>
      <c r="L29" s="263"/>
    </row>
    <row r="30" spans="1:12" s="26" customFormat="1" ht="21" customHeight="1">
      <c r="A30" s="263"/>
      <c r="B30" s="143">
        <v>22</v>
      </c>
      <c r="C30" s="58" t="s">
        <v>154</v>
      </c>
      <c r="D30" s="57" t="s">
        <v>155</v>
      </c>
      <c r="E30" s="316" t="s">
        <v>156</v>
      </c>
      <c r="F30" s="315">
        <v>1248845.7</v>
      </c>
      <c r="G30" s="315">
        <v>1215152.04</v>
      </c>
      <c r="H30" s="162">
        <f t="shared" si="0"/>
        <v>-33693.659999999916</v>
      </c>
      <c r="I30" s="263"/>
      <c r="J30" s="263"/>
      <c r="K30" s="263"/>
      <c r="L30" s="263"/>
    </row>
    <row r="31" spans="1:12" s="26" customFormat="1" ht="21" customHeight="1">
      <c r="A31" s="263"/>
      <c r="B31" s="143">
        <v>23</v>
      </c>
      <c r="C31" s="59" t="s">
        <v>157</v>
      </c>
      <c r="D31" s="57" t="s">
        <v>158</v>
      </c>
      <c r="E31" s="316" t="s">
        <v>159</v>
      </c>
      <c r="F31" s="315">
        <v>66226016.280000001</v>
      </c>
      <c r="G31" s="315">
        <v>77162154.5</v>
      </c>
      <c r="H31" s="162">
        <f t="shared" si="0"/>
        <v>10936138.219999999</v>
      </c>
      <c r="I31" s="263"/>
      <c r="J31" s="263"/>
      <c r="K31" s="263"/>
      <c r="L31" s="263"/>
    </row>
    <row r="32" spans="1:12" s="4" customFormat="1" ht="21" customHeight="1">
      <c r="A32" s="204"/>
      <c r="B32" s="143"/>
      <c r="C32" s="319"/>
      <c r="D32" s="143"/>
      <c r="E32" s="320" t="s">
        <v>160</v>
      </c>
      <c r="F32" s="321">
        <f>SUM(F9:F31)</f>
        <v>2222493407.4299998</v>
      </c>
      <c r="G32" s="321">
        <f>SUM(G9:G31)</f>
        <v>2625299029.8299999</v>
      </c>
      <c r="H32" s="321">
        <f>SUM(H9:H31)</f>
        <v>402805622.4000001</v>
      </c>
      <c r="I32" s="251"/>
      <c r="J32" s="251"/>
      <c r="K32" s="204"/>
      <c r="L32" s="204"/>
    </row>
    <row r="33" spans="1:12" s="4" customFormat="1" ht="21" customHeight="1">
      <c r="A33" s="204"/>
      <c r="B33" s="141"/>
      <c r="C33" s="322"/>
      <c r="D33" s="143"/>
      <c r="E33" s="320" t="s">
        <v>161</v>
      </c>
      <c r="F33" s="143"/>
      <c r="G33" s="143"/>
      <c r="H33" s="162"/>
      <c r="I33" s="251"/>
      <c r="J33" s="251"/>
      <c r="K33" s="204"/>
      <c r="L33" s="204"/>
    </row>
    <row r="34" spans="1:12" s="26" customFormat="1" ht="21" customHeight="1">
      <c r="A34" s="263"/>
      <c r="B34" s="143">
        <v>24</v>
      </c>
      <c r="C34" s="59" t="s">
        <v>162</v>
      </c>
      <c r="D34" s="57" t="s">
        <v>163</v>
      </c>
      <c r="E34" s="316" t="s">
        <v>164</v>
      </c>
      <c r="F34" s="315">
        <v>440958421.32999998</v>
      </c>
      <c r="G34" s="315">
        <v>486162753.98000002</v>
      </c>
      <c r="H34" s="162">
        <f t="shared" si="0"/>
        <v>45204332.650000036</v>
      </c>
      <c r="I34" s="263"/>
      <c r="J34" s="263"/>
      <c r="K34" s="263"/>
      <c r="L34" s="263"/>
    </row>
    <row r="35" spans="1:12" s="26" customFormat="1" ht="21" customHeight="1">
      <c r="A35" s="263"/>
      <c r="B35" s="143">
        <v>25</v>
      </c>
      <c r="C35" s="58" t="s">
        <v>165</v>
      </c>
      <c r="D35" s="57" t="s">
        <v>166</v>
      </c>
      <c r="E35" s="316" t="s">
        <v>167</v>
      </c>
      <c r="F35" s="315">
        <v>8432433.4000000004</v>
      </c>
      <c r="G35" s="315">
        <v>19999603.539999999</v>
      </c>
      <c r="H35" s="162">
        <f t="shared" si="0"/>
        <v>11567170.139999999</v>
      </c>
      <c r="I35" s="263"/>
      <c r="J35" s="263"/>
      <c r="K35" s="263"/>
      <c r="L35" s="263"/>
    </row>
    <row r="36" spans="1:12" s="26" customFormat="1" ht="21" customHeight="1">
      <c r="A36" s="263"/>
      <c r="B36" s="143">
        <v>26</v>
      </c>
      <c r="C36" s="59" t="s">
        <v>168</v>
      </c>
      <c r="D36" s="57" t="s">
        <v>169</v>
      </c>
      <c r="E36" s="316" t="s">
        <v>170</v>
      </c>
      <c r="F36" s="315">
        <v>172457859.28</v>
      </c>
      <c r="G36" s="315">
        <v>194938383.72999999</v>
      </c>
      <c r="H36" s="162">
        <f t="shared" si="0"/>
        <v>22480524.449999988</v>
      </c>
      <c r="I36" s="263"/>
      <c r="J36" s="263"/>
      <c r="K36" s="263"/>
      <c r="L36" s="263"/>
    </row>
    <row r="37" spans="1:12" s="26" customFormat="1" ht="21" customHeight="1">
      <c r="A37" s="263"/>
      <c r="B37" s="143">
        <v>27</v>
      </c>
      <c r="C37" s="58" t="s">
        <v>171</v>
      </c>
      <c r="D37" s="57" t="s">
        <v>172</v>
      </c>
      <c r="E37" s="316" t="s">
        <v>173</v>
      </c>
      <c r="F37" s="315">
        <v>24416303.5</v>
      </c>
      <c r="G37" s="315">
        <v>33052135.469999999</v>
      </c>
      <c r="H37" s="162">
        <f t="shared" si="0"/>
        <v>8635831.9699999988</v>
      </c>
      <c r="I37" s="263"/>
      <c r="J37" s="263"/>
      <c r="K37" s="263"/>
      <c r="L37" s="263"/>
    </row>
    <row r="38" spans="1:12" s="26" customFormat="1" ht="21" customHeight="1">
      <c r="A38" s="263"/>
      <c r="B38" s="143">
        <v>28</v>
      </c>
      <c r="C38" s="59" t="s">
        <v>174</v>
      </c>
      <c r="D38" s="57" t="s">
        <v>175</v>
      </c>
      <c r="E38" s="316" t="s">
        <v>176</v>
      </c>
      <c r="F38" s="315">
        <v>223041632.88999999</v>
      </c>
      <c r="G38" s="315">
        <v>267874200.49000001</v>
      </c>
      <c r="H38" s="162">
        <f t="shared" si="0"/>
        <v>44832567.600000024</v>
      </c>
      <c r="I38" s="263"/>
      <c r="J38" s="263"/>
      <c r="K38" s="263"/>
      <c r="L38" s="263"/>
    </row>
    <row r="39" spans="1:12" s="27" customFormat="1" ht="21" customHeight="1">
      <c r="A39" s="265"/>
      <c r="B39" s="143">
        <v>29</v>
      </c>
      <c r="C39" s="58" t="s">
        <v>177</v>
      </c>
      <c r="D39" s="57" t="s">
        <v>178</v>
      </c>
      <c r="E39" s="312" t="s">
        <v>179</v>
      </c>
      <c r="F39" s="315">
        <v>179310174.05000001</v>
      </c>
      <c r="G39" s="315">
        <v>206741931</v>
      </c>
      <c r="H39" s="162">
        <f t="shared" si="0"/>
        <v>27431756.949999988</v>
      </c>
      <c r="I39" s="265"/>
      <c r="J39" s="265"/>
      <c r="K39" s="265"/>
      <c r="L39" s="265"/>
    </row>
    <row r="40" spans="1:12" s="27" customFormat="1" ht="21" customHeight="1">
      <c r="A40" s="265"/>
      <c r="B40" s="143">
        <v>30</v>
      </c>
      <c r="C40" s="58" t="s">
        <v>183</v>
      </c>
      <c r="D40" s="57" t="s">
        <v>184</v>
      </c>
      <c r="E40" s="316" t="s">
        <v>185</v>
      </c>
      <c r="F40" s="315">
        <v>341821.9</v>
      </c>
      <c r="G40" s="315">
        <v>2445047.19</v>
      </c>
      <c r="H40" s="162">
        <f t="shared" si="0"/>
        <v>2103225.29</v>
      </c>
      <c r="I40" s="265"/>
      <c r="J40" s="265"/>
      <c r="K40" s="265"/>
      <c r="L40" s="265"/>
    </row>
    <row r="41" spans="1:12" s="27" customFormat="1" ht="21" customHeight="1">
      <c r="A41" s="265"/>
      <c r="B41" s="143">
        <v>31</v>
      </c>
      <c r="C41" s="59" t="s">
        <v>186</v>
      </c>
      <c r="D41" s="57" t="s">
        <v>187</v>
      </c>
      <c r="E41" s="316" t="s">
        <v>188</v>
      </c>
      <c r="F41" s="315">
        <v>190527323.97</v>
      </c>
      <c r="G41" s="315">
        <v>222127017.91999999</v>
      </c>
      <c r="H41" s="162">
        <f t="shared" si="0"/>
        <v>31599693.949999988</v>
      </c>
      <c r="I41" s="265"/>
      <c r="J41" s="265"/>
      <c r="K41" s="265"/>
      <c r="L41" s="265"/>
    </row>
    <row r="42" spans="1:12" s="27" customFormat="1" ht="21" customHeight="1">
      <c r="A42" s="265"/>
      <c r="B42" s="143">
        <v>32</v>
      </c>
      <c r="C42" s="58" t="s">
        <v>189</v>
      </c>
      <c r="D42" s="57" t="s">
        <v>190</v>
      </c>
      <c r="E42" s="316" t="s">
        <v>191</v>
      </c>
      <c r="F42" s="315">
        <v>33711474.18</v>
      </c>
      <c r="G42" s="315">
        <v>37662940.850000001</v>
      </c>
      <c r="H42" s="162">
        <f t="shared" si="0"/>
        <v>3951466.6700000018</v>
      </c>
      <c r="I42" s="265"/>
      <c r="J42" s="265"/>
      <c r="K42" s="265"/>
      <c r="L42" s="265"/>
    </row>
    <row r="43" spans="1:12" s="27" customFormat="1" ht="21" customHeight="1">
      <c r="A43" s="265"/>
      <c r="B43" s="143">
        <v>33</v>
      </c>
      <c r="C43" s="58" t="s">
        <v>192</v>
      </c>
      <c r="D43" s="57" t="s">
        <v>193</v>
      </c>
      <c r="E43" s="316" t="s">
        <v>194</v>
      </c>
      <c r="F43" s="315">
        <v>10543397.810000001</v>
      </c>
      <c r="G43" s="315">
        <v>12046136.779999999</v>
      </c>
      <c r="H43" s="162">
        <f t="shared" si="0"/>
        <v>1502738.9699999988</v>
      </c>
      <c r="I43" s="265"/>
      <c r="J43" s="265"/>
      <c r="K43" s="265"/>
      <c r="L43" s="265"/>
    </row>
    <row r="44" spans="1:12" s="27" customFormat="1" ht="21" customHeight="1">
      <c r="A44" s="265"/>
      <c r="B44" s="143">
        <v>34</v>
      </c>
      <c r="C44" s="58" t="s">
        <v>195</v>
      </c>
      <c r="D44" s="57" t="s">
        <v>196</v>
      </c>
      <c r="E44" s="316" t="s">
        <v>197</v>
      </c>
      <c r="F44" s="315">
        <v>70365578.430000007</v>
      </c>
      <c r="G44" s="315">
        <v>82630338.680000007</v>
      </c>
      <c r="H44" s="162">
        <f t="shared" si="0"/>
        <v>12264760.25</v>
      </c>
      <c r="I44" s="265"/>
      <c r="J44" s="265"/>
      <c r="K44" s="265"/>
      <c r="L44" s="265"/>
    </row>
    <row r="45" spans="1:12" s="27" customFormat="1" ht="21" customHeight="1">
      <c r="A45" s="265"/>
      <c r="B45" s="143">
        <v>35</v>
      </c>
      <c r="C45" s="58" t="s">
        <v>203</v>
      </c>
      <c r="D45" s="57" t="s">
        <v>204</v>
      </c>
      <c r="E45" s="316" t="s">
        <v>205</v>
      </c>
      <c r="F45" s="315">
        <v>286318425.00999999</v>
      </c>
      <c r="G45" s="315">
        <v>317106326.23000002</v>
      </c>
      <c r="H45" s="162">
        <f t="shared" si="0"/>
        <v>30787901.220000029</v>
      </c>
      <c r="I45" s="265"/>
      <c r="J45" s="265"/>
      <c r="K45" s="265"/>
      <c r="L45" s="265"/>
    </row>
    <row r="46" spans="1:12" s="27" customFormat="1" ht="21" customHeight="1">
      <c r="A46" s="265"/>
      <c r="B46" s="143">
        <v>36</v>
      </c>
      <c r="C46" s="58" t="s">
        <v>206</v>
      </c>
      <c r="D46" s="57" t="s">
        <v>207</v>
      </c>
      <c r="E46" s="316" t="s">
        <v>208</v>
      </c>
      <c r="F46" s="315">
        <v>25360963.550000001</v>
      </c>
      <c r="G46" s="315">
        <v>32140950.039999999</v>
      </c>
      <c r="H46" s="162">
        <f t="shared" si="0"/>
        <v>6779986.4899999984</v>
      </c>
      <c r="I46" s="265"/>
      <c r="J46" s="265"/>
      <c r="K46" s="265"/>
      <c r="L46" s="265"/>
    </row>
    <row r="47" spans="1:12" s="27" customFormat="1" ht="21" customHeight="1">
      <c r="A47" s="265"/>
      <c r="B47" s="143">
        <v>37</v>
      </c>
      <c r="C47" s="58" t="s">
        <v>209</v>
      </c>
      <c r="D47" s="57" t="s">
        <v>210</v>
      </c>
      <c r="E47" s="316" t="s">
        <v>1941</v>
      </c>
      <c r="F47" s="315">
        <v>20133898.600000001</v>
      </c>
      <c r="G47" s="315">
        <v>24363642.789999999</v>
      </c>
      <c r="H47" s="162">
        <f t="shared" si="0"/>
        <v>4229744.1899999976</v>
      </c>
      <c r="I47" s="265"/>
      <c r="J47" s="265"/>
      <c r="K47" s="265"/>
      <c r="L47" s="265"/>
    </row>
    <row r="48" spans="1:12" s="27" customFormat="1" ht="21" customHeight="1">
      <c r="A48" s="265"/>
      <c r="B48" s="143">
        <v>38</v>
      </c>
      <c r="C48" s="58" t="s">
        <v>212</v>
      </c>
      <c r="D48" s="57" t="s">
        <v>213</v>
      </c>
      <c r="E48" s="316" t="s">
        <v>214</v>
      </c>
      <c r="F48" s="315">
        <f>52493708.43+16669295.02</f>
        <v>69163003.450000003</v>
      </c>
      <c r="G48" s="315">
        <v>94256913.390000001</v>
      </c>
      <c r="H48" s="162">
        <f t="shared" si="0"/>
        <v>25093909.939999998</v>
      </c>
      <c r="I48" s="265"/>
      <c r="J48" s="265"/>
      <c r="K48" s="265"/>
      <c r="L48" s="265"/>
    </row>
    <row r="49" spans="1:12" s="27" customFormat="1" ht="21" customHeight="1">
      <c r="A49" s="265"/>
      <c r="B49" s="143">
        <v>39</v>
      </c>
      <c r="C49" s="58" t="s">
        <v>215</v>
      </c>
      <c r="D49" s="57" t="s">
        <v>216</v>
      </c>
      <c r="E49" s="316" t="s">
        <v>1480</v>
      </c>
      <c r="F49" s="315">
        <v>71776385.400000006</v>
      </c>
      <c r="G49" s="315">
        <v>93500258.519999996</v>
      </c>
      <c r="H49" s="162">
        <f t="shared" si="0"/>
        <v>21723873.11999999</v>
      </c>
      <c r="I49" s="265"/>
      <c r="J49" s="265"/>
      <c r="K49" s="265"/>
      <c r="L49" s="265"/>
    </row>
    <row r="50" spans="1:12" s="27" customFormat="1" ht="21" customHeight="1">
      <c r="A50" s="265"/>
      <c r="B50" s="143">
        <v>40</v>
      </c>
      <c r="C50" s="58" t="s">
        <v>218</v>
      </c>
      <c r="D50" s="57" t="s">
        <v>219</v>
      </c>
      <c r="E50" s="316" t="s">
        <v>220</v>
      </c>
      <c r="F50" s="315">
        <v>25383206.039999999</v>
      </c>
      <c r="G50" s="315">
        <v>36590538.640000001</v>
      </c>
      <c r="H50" s="162">
        <f t="shared" si="0"/>
        <v>11207332.600000001</v>
      </c>
      <c r="I50" s="265"/>
      <c r="J50" s="265"/>
      <c r="K50" s="265"/>
      <c r="L50" s="265"/>
    </row>
    <row r="51" spans="1:12" s="27" customFormat="1" ht="21" customHeight="1">
      <c r="A51" s="265"/>
      <c r="B51" s="143">
        <v>41</v>
      </c>
      <c r="C51" s="59" t="s">
        <v>221</v>
      </c>
      <c r="D51" s="57" t="s">
        <v>222</v>
      </c>
      <c r="E51" s="316" t="s">
        <v>223</v>
      </c>
      <c r="F51" s="315">
        <v>317576860.55000001</v>
      </c>
      <c r="G51" s="315">
        <v>352394091.41000003</v>
      </c>
      <c r="H51" s="162">
        <f t="shared" si="0"/>
        <v>34817230.860000014</v>
      </c>
      <c r="I51" s="265"/>
      <c r="J51" s="265"/>
      <c r="K51" s="265"/>
      <c r="L51" s="265"/>
    </row>
    <row r="52" spans="1:12" s="27" customFormat="1" ht="21" customHeight="1">
      <c r="A52" s="265"/>
      <c r="B52" s="143">
        <v>42</v>
      </c>
      <c r="C52" s="59" t="s">
        <v>224</v>
      </c>
      <c r="D52" s="57" t="s">
        <v>225</v>
      </c>
      <c r="E52" s="316" t="s">
        <v>226</v>
      </c>
      <c r="F52" s="315">
        <v>32730803.260000002</v>
      </c>
      <c r="G52" s="315">
        <v>39196982.829999998</v>
      </c>
      <c r="H52" s="162">
        <f t="shared" si="0"/>
        <v>6466179.5699999966</v>
      </c>
      <c r="I52" s="265"/>
      <c r="J52" s="265"/>
      <c r="K52" s="265"/>
      <c r="L52" s="265"/>
    </row>
    <row r="53" spans="1:12" s="27" customFormat="1" ht="21" customHeight="1">
      <c r="A53" s="265"/>
      <c r="B53" s="143">
        <v>43</v>
      </c>
      <c r="C53" s="58" t="s">
        <v>227</v>
      </c>
      <c r="D53" s="57" t="s">
        <v>228</v>
      </c>
      <c r="E53" s="316" t="s">
        <v>229</v>
      </c>
      <c r="F53" s="315">
        <v>96885088.510000005</v>
      </c>
      <c r="G53" s="315">
        <v>136011329.5</v>
      </c>
      <c r="H53" s="162">
        <f t="shared" si="0"/>
        <v>39126240.989999995</v>
      </c>
      <c r="I53" s="265"/>
      <c r="J53" s="265"/>
      <c r="K53" s="265"/>
      <c r="L53" s="265"/>
    </row>
    <row r="54" spans="1:12" s="27" customFormat="1" ht="21" customHeight="1">
      <c r="A54" s="265"/>
      <c r="B54" s="143">
        <v>44</v>
      </c>
      <c r="C54" s="59" t="s">
        <v>230</v>
      </c>
      <c r="D54" s="57" t="s">
        <v>231</v>
      </c>
      <c r="E54" s="316" t="s">
        <v>232</v>
      </c>
      <c r="F54" s="315">
        <v>85246621.230000004</v>
      </c>
      <c r="G54" s="315">
        <v>106933379.45999999</v>
      </c>
      <c r="H54" s="162">
        <f t="shared" si="0"/>
        <v>21686758.229999989</v>
      </c>
      <c r="I54" s="265"/>
      <c r="J54" s="265"/>
      <c r="K54" s="265"/>
      <c r="L54" s="265"/>
    </row>
    <row r="55" spans="1:12" s="27" customFormat="1" ht="21" customHeight="1">
      <c r="A55" s="265"/>
      <c r="B55" s="143">
        <v>45</v>
      </c>
      <c r="C55" s="59" t="s">
        <v>236</v>
      </c>
      <c r="D55" s="57" t="s">
        <v>237</v>
      </c>
      <c r="E55" s="316" t="s">
        <v>238</v>
      </c>
      <c r="F55" s="315">
        <v>7667929.1100000003</v>
      </c>
      <c r="G55" s="315">
        <v>15140161.32</v>
      </c>
      <c r="H55" s="162">
        <f t="shared" si="0"/>
        <v>7472232.21</v>
      </c>
      <c r="I55" s="265"/>
      <c r="J55" s="265"/>
      <c r="K55" s="265"/>
      <c r="L55" s="265"/>
    </row>
    <row r="56" spans="1:12" s="27" customFormat="1" ht="21" customHeight="1">
      <c r="A56" s="265"/>
      <c r="B56" s="143">
        <v>46</v>
      </c>
      <c r="C56" s="58" t="s">
        <v>239</v>
      </c>
      <c r="D56" s="57" t="s">
        <v>240</v>
      </c>
      <c r="E56" s="316" t="s">
        <v>241</v>
      </c>
      <c r="F56" s="315">
        <v>58609983.490000002</v>
      </c>
      <c r="G56" s="315">
        <v>67359694.930000007</v>
      </c>
      <c r="H56" s="162">
        <f t="shared" si="0"/>
        <v>8749711.4400000051</v>
      </c>
      <c r="I56" s="265"/>
      <c r="J56" s="265"/>
      <c r="K56" s="265"/>
      <c r="L56" s="265"/>
    </row>
    <row r="57" spans="1:12" ht="21" customHeight="1">
      <c r="B57" s="143"/>
      <c r="C57" s="319"/>
      <c r="D57" s="143"/>
      <c r="E57" s="320" t="s">
        <v>242</v>
      </c>
      <c r="F57" s="321">
        <f>SUM(F34:F56)</f>
        <v>2450959588.9400005</v>
      </c>
      <c r="G57" s="321">
        <f>SUM(G34:G56)</f>
        <v>2880674758.6900001</v>
      </c>
      <c r="H57" s="321">
        <f>SUM(H34:H56)</f>
        <v>429715169.75</v>
      </c>
    </row>
    <row r="58" spans="1:12" ht="21" customHeight="1">
      <c r="B58" s="143"/>
      <c r="C58" s="319"/>
      <c r="D58" s="143"/>
      <c r="E58" s="323" t="s">
        <v>243</v>
      </c>
      <c r="F58" s="143"/>
      <c r="G58" s="143"/>
      <c r="H58" s="319"/>
    </row>
    <row r="59" spans="1:12" ht="21" customHeight="1">
      <c r="B59" s="143">
        <v>47</v>
      </c>
      <c r="C59" s="324" t="s">
        <v>244</v>
      </c>
      <c r="D59" s="325" t="s">
        <v>245</v>
      </c>
      <c r="E59" s="326" t="s">
        <v>246</v>
      </c>
      <c r="F59" s="325">
        <v>183714538.02000001</v>
      </c>
      <c r="G59" s="325">
        <v>195110675.59</v>
      </c>
      <c r="H59" s="162">
        <f>G59-F59</f>
        <v>11396137.569999993</v>
      </c>
    </row>
    <row r="60" spans="1:12" ht="21" customHeight="1">
      <c r="B60" s="143"/>
      <c r="C60" s="319"/>
      <c r="D60" s="143"/>
      <c r="E60" s="323" t="s">
        <v>247</v>
      </c>
      <c r="F60" s="327">
        <f>SUM(F59)</f>
        <v>183714538.02000001</v>
      </c>
      <c r="G60" s="327">
        <f>SUM(G59)</f>
        <v>195110675.59</v>
      </c>
      <c r="H60" s="266">
        <f>SUM(H59)</f>
        <v>11396137.569999993</v>
      </c>
    </row>
    <row r="61" spans="1:12" ht="21" customHeight="1">
      <c r="B61" s="143"/>
      <c r="C61" s="319"/>
      <c r="D61" s="143"/>
      <c r="E61" s="328" t="s">
        <v>248</v>
      </c>
      <c r="F61" s="143"/>
      <c r="G61" s="143"/>
      <c r="H61" s="319"/>
    </row>
    <row r="62" spans="1:12" ht="21" customHeight="1">
      <c r="B62" s="143"/>
      <c r="C62" s="319"/>
      <c r="D62" s="143"/>
      <c r="E62" s="328" t="s">
        <v>250</v>
      </c>
      <c r="F62" s="266"/>
      <c r="G62" s="266"/>
      <c r="H62" s="319"/>
    </row>
    <row r="63" spans="1:12" ht="21" customHeight="1">
      <c r="B63" s="143"/>
      <c r="C63" s="319"/>
      <c r="D63" s="143"/>
      <c r="E63" s="329" t="s">
        <v>249</v>
      </c>
      <c r="F63" s="143"/>
      <c r="G63" s="143"/>
      <c r="H63" s="319"/>
    </row>
    <row r="64" spans="1:12" s="27" customFormat="1" ht="21" customHeight="1">
      <c r="A64" s="265"/>
      <c r="B64" s="143">
        <v>48</v>
      </c>
      <c r="C64" s="58" t="s">
        <v>251</v>
      </c>
      <c r="D64" s="57" t="s">
        <v>252</v>
      </c>
      <c r="E64" s="316" t="s">
        <v>253</v>
      </c>
      <c r="F64" s="330">
        <v>86969635.170000002</v>
      </c>
      <c r="G64" s="330">
        <v>148416854.41999999</v>
      </c>
      <c r="H64" s="162">
        <f>G64-F64</f>
        <v>61447219.249999985</v>
      </c>
      <c r="I64" s="265"/>
      <c r="J64" s="265"/>
      <c r="K64" s="265"/>
      <c r="L64" s="265"/>
    </row>
    <row r="65" spans="1:12" s="27" customFormat="1" ht="21" customHeight="1">
      <c r="A65" s="265"/>
      <c r="B65" s="143">
        <v>49</v>
      </c>
      <c r="C65" s="58" t="s">
        <v>260</v>
      </c>
      <c r="D65" s="57" t="s">
        <v>261</v>
      </c>
      <c r="E65" s="316" t="s">
        <v>596</v>
      </c>
      <c r="F65" s="330">
        <v>531554590.25</v>
      </c>
      <c r="G65" s="330">
        <v>684394410.65999997</v>
      </c>
      <c r="H65" s="162">
        <f t="shared" ref="H65:H83" si="1">G65-F65</f>
        <v>152839820.40999997</v>
      </c>
      <c r="I65" s="265"/>
      <c r="J65" s="265"/>
      <c r="K65" s="265"/>
      <c r="L65" s="265"/>
    </row>
    <row r="66" spans="1:12" s="27" customFormat="1" ht="21" customHeight="1">
      <c r="A66" s="265"/>
      <c r="B66" s="143">
        <v>50</v>
      </c>
      <c r="C66" s="58" t="s">
        <v>260</v>
      </c>
      <c r="D66" s="57" t="s">
        <v>263</v>
      </c>
      <c r="E66" s="316" t="s">
        <v>264</v>
      </c>
      <c r="F66" s="330"/>
      <c r="G66" s="330"/>
      <c r="H66" s="162">
        <f t="shared" si="1"/>
        <v>0</v>
      </c>
      <c r="I66" s="265"/>
      <c r="J66" s="265"/>
      <c r="K66" s="265"/>
      <c r="L66" s="265"/>
    </row>
    <row r="67" spans="1:12" s="27" customFormat="1" ht="21" customHeight="1">
      <c r="A67" s="265"/>
      <c r="B67" s="143">
        <v>51</v>
      </c>
      <c r="C67" s="58" t="s">
        <v>271</v>
      </c>
      <c r="D67" s="57" t="s">
        <v>272</v>
      </c>
      <c r="E67" s="316" t="s">
        <v>1521</v>
      </c>
      <c r="F67" s="331">
        <v>385321309.67000002</v>
      </c>
      <c r="G67" s="330">
        <v>413151693.38</v>
      </c>
      <c r="H67" s="162">
        <f t="shared" si="1"/>
        <v>27830383.709999979</v>
      </c>
      <c r="I67" s="265"/>
      <c r="J67" s="265"/>
      <c r="K67" s="265"/>
      <c r="L67" s="265"/>
    </row>
    <row r="68" spans="1:12" s="27" customFormat="1" ht="21" customHeight="1">
      <c r="A68" s="265"/>
      <c r="B68" s="143">
        <v>52</v>
      </c>
      <c r="C68" s="58" t="s">
        <v>274</v>
      </c>
      <c r="D68" s="57" t="s">
        <v>275</v>
      </c>
      <c r="E68" s="316" t="s">
        <v>276</v>
      </c>
      <c r="F68" s="330">
        <v>12573595.68</v>
      </c>
      <c r="G68" s="330">
        <v>22733344.870000001</v>
      </c>
      <c r="H68" s="162">
        <f t="shared" si="1"/>
        <v>10159749.190000001</v>
      </c>
      <c r="I68" s="265"/>
      <c r="J68" s="265"/>
      <c r="K68" s="265"/>
      <c r="L68" s="265"/>
    </row>
    <row r="69" spans="1:12" s="27" customFormat="1" ht="21" customHeight="1">
      <c r="A69" s="265"/>
      <c r="B69" s="143">
        <v>53</v>
      </c>
      <c r="C69" s="58" t="s">
        <v>277</v>
      </c>
      <c r="D69" s="57" t="s">
        <v>278</v>
      </c>
      <c r="E69" s="316" t="s">
        <v>279</v>
      </c>
      <c r="F69" s="330">
        <v>151122865.88</v>
      </c>
      <c r="G69" s="330">
        <v>250002392.38</v>
      </c>
      <c r="H69" s="162">
        <f t="shared" si="1"/>
        <v>98879526.5</v>
      </c>
      <c r="I69" s="265"/>
      <c r="J69" s="265"/>
      <c r="K69" s="265"/>
      <c r="L69" s="265"/>
    </row>
    <row r="70" spans="1:12" s="27" customFormat="1" ht="21" customHeight="1">
      <c r="A70" s="265"/>
      <c r="B70" s="143">
        <v>54</v>
      </c>
      <c r="C70" s="58" t="s">
        <v>281</v>
      </c>
      <c r="D70" s="57" t="s">
        <v>282</v>
      </c>
      <c r="E70" s="316" t="s">
        <v>1482</v>
      </c>
      <c r="F70" s="137">
        <v>8774312248.2900009</v>
      </c>
      <c r="G70" s="330">
        <v>10373789428.889999</v>
      </c>
      <c r="H70" s="162">
        <f t="shared" si="1"/>
        <v>1599477180.5999985</v>
      </c>
      <c r="I70" s="265"/>
      <c r="J70" s="265"/>
      <c r="K70" s="265"/>
      <c r="L70" s="265"/>
    </row>
    <row r="71" spans="1:12" s="27" customFormat="1" ht="21" customHeight="1">
      <c r="A71" s="265"/>
      <c r="B71" s="143">
        <v>55</v>
      </c>
      <c r="C71" s="58" t="s">
        <v>284</v>
      </c>
      <c r="D71" s="57" t="s">
        <v>285</v>
      </c>
      <c r="E71" s="316" t="s">
        <v>286</v>
      </c>
      <c r="F71" s="330">
        <v>94696358.959999993</v>
      </c>
      <c r="G71" s="330">
        <v>121822874.59999999</v>
      </c>
      <c r="H71" s="162">
        <f t="shared" si="1"/>
        <v>27126515.640000001</v>
      </c>
      <c r="I71" s="265"/>
      <c r="J71" s="265"/>
      <c r="K71" s="265"/>
      <c r="L71" s="265"/>
    </row>
    <row r="72" spans="1:12" s="27" customFormat="1" ht="21" customHeight="1">
      <c r="A72" s="265"/>
      <c r="B72" s="143">
        <v>56</v>
      </c>
      <c r="C72" s="58" t="s">
        <v>287</v>
      </c>
      <c r="D72" s="57" t="s">
        <v>288</v>
      </c>
      <c r="E72" s="316" t="s">
        <v>289</v>
      </c>
      <c r="F72" s="330">
        <v>43535093.909999996</v>
      </c>
      <c r="G72" s="330">
        <v>57698059.109999999</v>
      </c>
      <c r="H72" s="162">
        <f t="shared" si="1"/>
        <v>14162965.200000003</v>
      </c>
      <c r="I72" s="265"/>
      <c r="J72" s="265"/>
      <c r="K72" s="265"/>
      <c r="L72" s="265"/>
    </row>
    <row r="73" spans="1:12" s="27" customFormat="1" ht="21" customHeight="1">
      <c r="A73" s="265"/>
      <c r="B73" s="143">
        <v>57</v>
      </c>
      <c r="C73" s="58" t="s">
        <v>293</v>
      </c>
      <c r="D73" s="57" t="s">
        <v>294</v>
      </c>
      <c r="E73" s="316" t="s">
        <v>295</v>
      </c>
      <c r="F73" s="330">
        <v>15102785.27</v>
      </c>
      <c r="G73" s="330">
        <v>20150607.260000002</v>
      </c>
      <c r="H73" s="162">
        <f t="shared" si="1"/>
        <v>5047821.9900000021</v>
      </c>
      <c r="I73" s="265"/>
      <c r="J73" s="265"/>
      <c r="K73" s="265"/>
      <c r="L73" s="265"/>
    </row>
    <row r="74" spans="1:12" s="27" customFormat="1" ht="21" customHeight="1">
      <c r="A74" s="265"/>
      <c r="B74" s="143">
        <v>58</v>
      </c>
      <c r="C74" s="58" t="s">
        <v>296</v>
      </c>
      <c r="D74" s="57" t="s">
        <v>297</v>
      </c>
      <c r="E74" s="316" t="s">
        <v>298</v>
      </c>
      <c r="F74" s="330">
        <v>16443668.029999999</v>
      </c>
      <c r="G74" s="330">
        <v>20663026.030000001</v>
      </c>
      <c r="H74" s="162">
        <f t="shared" si="1"/>
        <v>4219358.0000000019</v>
      </c>
      <c r="I74" s="265"/>
      <c r="J74" s="265"/>
      <c r="K74" s="265"/>
      <c r="L74" s="265"/>
    </row>
    <row r="75" spans="1:12" s="27" customFormat="1" ht="21" customHeight="1">
      <c r="A75" s="265"/>
      <c r="B75" s="143">
        <v>59</v>
      </c>
      <c r="C75" s="58" t="s">
        <v>299</v>
      </c>
      <c r="D75" s="57" t="s">
        <v>300</v>
      </c>
      <c r="E75" s="316" t="s">
        <v>301</v>
      </c>
      <c r="F75" s="330">
        <v>309575177.86000001</v>
      </c>
      <c r="G75" s="330">
        <v>350831773.52999997</v>
      </c>
      <c r="H75" s="162">
        <f t="shared" si="1"/>
        <v>41256595.669999957</v>
      </c>
      <c r="I75" s="265"/>
      <c r="J75" s="265"/>
      <c r="K75" s="265"/>
      <c r="L75" s="265"/>
    </row>
    <row r="76" spans="1:12" s="27" customFormat="1" ht="21" customHeight="1">
      <c r="A76" s="265"/>
      <c r="B76" s="143">
        <v>60</v>
      </c>
      <c r="C76" s="58" t="s">
        <v>302</v>
      </c>
      <c r="D76" s="57" t="s">
        <v>303</v>
      </c>
      <c r="E76" s="316" t="s">
        <v>304</v>
      </c>
      <c r="F76" s="330">
        <v>17923842.550000001</v>
      </c>
      <c r="G76" s="330">
        <v>25653967.640000001</v>
      </c>
      <c r="H76" s="162">
        <f t="shared" si="1"/>
        <v>7730125.0899999999</v>
      </c>
      <c r="I76" s="265"/>
      <c r="J76" s="265"/>
      <c r="K76" s="265"/>
      <c r="L76" s="265"/>
    </row>
    <row r="77" spans="1:12" s="27" customFormat="1" ht="21" customHeight="1">
      <c r="A77" s="265"/>
      <c r="B77" s="143">
        <v>61</v>
      </c>
      <c r="C77" s="58" t="s">
        <v>305</v>
      </c>
      <c r="D77" s="57" t="s">
        <v>306</v>
      </c>
      <c r="E77" s="316" t="s">
        <v>307</v>
      </c>
      <c r="F77" s="330">
        <v>2550684311.75</v>
      </c>
      <c r="G77" s="330">
        <v>2804248066.6300001</v>
      </c>
      <c r="H77" s="162">
        <f t="shared" si="1"/>
        <v>253563754.88000011</v>
      </c>
      <c r="I77" s="265"/>
      <c r="J77" s="265"/>
      <c r="K77" s="265"/>
      <c r="L77" s="265"/>
    </row>
    <row r="78" spans="1:12" s="27" customFormat="1" ht="21" customHeight="1">
      <c r="A78" s="265"/>
      <c r="B78" s="143">
        <v>62</v>
      </c>
      <c r="C78" s="58" t="s">
        <v>308</v>
      </c>
      <c r="D78" s="57" t="s">
        <v>309</v>
      </c>
      <c r="E78" s="316" t="s">
        <v>310</v>
      </c>
      <c r="F78" s="330">
        <v>17726097.879999999</v>
      </c>
      <c r="G78" s="330">
        <v>18324172.629999999</v>
      </c>
      <c r="H78" s="162">
        <f t="shared" si="1"/>
        <v>598074.75</v>
      </c>
      <c r="I78" s="265"/>
      <c r="J78" s="265"/>
      <c r="K78" s="265"/>
      <c r="L78" s="265"/>
    </row>
    <row r="79" spans="1:12" s="27" customFormat="1" ht="21" customHeight="1">
      <c r="A79" s="265"/>
      <c r="B79" s="143">
        <v>63</v>
      </c>
      <c r="C79" s="58" t="s">
        <v>311</v>
      </c>
      <c r="D79" s="57" t="s">
        <v>312</v>
      </c>
      <c r="E79" s="316" t="s">
        <v>313</v>
      </c>
      <c r="F79" s="330">
        <v>163022924.81</v>
      </c>
      <c r="G79" s="330">
        <v>170011280.09999999</v>
      </c>
      <c r="H79" s="162">
        <f t="shared" si="1"/>
        <v>6988355.2899999917</v>
      </c>
      <c r="I79" s="265"/>
      <c r="J79" s="265"/>
      <c r="K79" s="265"/>
      <c r="L79" s="265"/>
    </row>
    <row r="80" spans="1:12" s="27" customFormat="1" ht="21" customHeight="1">
      <c r="A80" s="265"/>
      <c r="B80" s="143">
        <v>64</v>
      </c>
      <c r="C80" s="58" t="s">
        <v>314</v>
      </c>
      <c r="D80" s="57" t="s">
        <v>315</v>
      </c>
      <c r="E80" s="316" t="s">
        <v>316</v>
      </c>
      <c r="F80" s="330">
        <v>17302872.059999999</v>
      </c>
      <c r="G80" s="330">
        <v>27582287.190000001</v>
      </c>
      <c r="H80" s="162">
        <f t="shared" si="1"/>
        <v>10279415.130000003</v>
      </c>
      <c r="I80" s="265"/>
      <c r="J80" s="265"/>
      <c r="K80" s="265"/>
      <c r="L80" s="265"/>
    </row>
    <row r="81" spans="1:12" s="27" customFormat="1" ht="21" customHeight="1">
      <c r="A81" s="265"/>
      <c r="B81" s="143">
        <v>65</v>
      </c>
      <c r="C81" s="58" t="s">
        <v>317</v>
      </c>
      <c r="D81" s="57" t="s">
        <v>318</v>
      </c>
      <c r="E81" s="316" t="s">
        <v>319</v>
      </c>
      <c r="F81" s="330">
        <v>21956915.59</v>
      </c>
      <c r="G81" s="330">
        <v>27150951.109999999</v>
      </c>
      <c r="H81" s="162">
        <f t="shared" si="1"/>
        <v>5194035.5199999996</v>
      </c>
      <c r="I81" s="265"/>
      <c r="J81" s="265"/>
      <c r="K81" s="265"/>
      <c r="L81" s="265"/>
    </row>
    <row r="82" spans="1:12" s="27" customFormat="1" ht="21" customHeight="1">
      <c r="A82" s="265"/>
      <c r="B82" s="143">
        <v>66</v>
      </c>
      <c r="C82" s="58" t="s">
        <v>320</v>
      </c>
      <c r="D82" s="57" t="s">
        <v>321</v>
      </c>
      <c r="E82" s="316" t="s">
        <v>322</v>
      </c>
      <c r="F82" s="330">
        <v>58281021.670000002</v>
      </c>
      <c r="G82" s="330">
        <v>78480056.590000004</v>
      </c>
      <c r="H82" s="162">
        <f t="shared" si="1"/>
        <v>20199034.920000002</v>
      </c>
      <c r="I82" s="265"/>
      <c r="J82" s="265"/>
      <c r="K82" s="265"/>
      <c r="L82" s="265"/>
    </row>
    <row r="83" spans="1:12" s="27" customFormat="1" ht="21" customHeight="1">
      <c r="A83" s="265"/>
      <c r="B83" s="143">
        <v>67</v>
      </c>
      <c r="C83" s="58" t="s">
        <v>324</v>
      </c>
      <c r="D83" s="57" t="s">
        <v>325</v>
      </c>
      <c r="E83" s="316" t="s">
        <v>326</v>
      </c>
      <c r="F83" s="330">
        <v>65785263.259999998</v>
      </c>
      <c r="G83" s="330">
        <v>84367426.290000007</v>
      </c>
      <c r="H83" s="162">
        <f t="shared" si="1"/>
        <v>18582163.030000009</v>
      </c>
      <c r="I83" s="265"/>
      <c r="J83" s="265"/>
      <c r="K83" s="265"/>
      <c r="L83" s="265"/>
    </row>
    <row r="84" spans="1:12" ht="21" customHeight="1">
      <c r="B84" s="143"/>
      <c r="C84" s="319"/>
      <c r="D84" s="143"/>
      <c r="E84" s="320" t="s">
        <v>327</v>
      </c>
      <c r="F84" s="321">
        <f>SUM(F64:F83)</f>
        <v>13333890578.539999</v>
      </c>
      <c r="G84" s="321">
        <f>SUM(G64:G83)</f>
        <v>15699472673.310003</v>
      </c>
      <c r="H84" s="321">
        <f>SUM(H64:H83)</f>
        <v>2365582094.7699986</v>
      </c>
    </row>
    <row r="85" spans="1:12" ht="21" customHeight="1">
      <c r="B85" s="143"/>
      <c r="C85" s="319"/>
      <c r="D85" s="143"/>
      <c r="E85" s="332"/>
      <c r="F85" s="143"/>
      <c r="G85" s="143"/>
      <c r="H85" s="319"/>
    </row>
    <row r="86" spans="1:12" ht="21" customHeight="1">
      <c r="B86" s="143"/>
      <c r="C86" s="319"/>
      <c r="D86" s="143"/>
      <c r="E86" s="320" t="s">
        <v>329</v>
      </c>
      <c r="F86" s="141"/>
      <c r="G86" s="141"/>
      <c r="H86" s="242"/>
    </row>
    <row r="87" spans="1:12" ht="21" customHeight="1">
      <c r="B87" s="143"/>
      <c r="C87" s="319"/>
      <c r="D87" s="143"/>
      <c r="E87" s="333" t="s">
        <v>328</v>
      </c>
      <c r="F87" s="275">
        <f>F32</f>
        <v>2222493407.4299998</v>
      </c>
      <c r="G87" s="275">
        <f>G32</f>
        <v>2625299029.8299999</v>
      </c>
      <c r="H87" s="275">
        <f>H32</f>
        <v>402805622.4000001</v>
      </c>
    </row>
    <row r="88" spans="1:12" ht="21" customHeight="1">
      <c r="B88" s="143"/>
      <c r="C88" s="319"/>
      <c r="D88" s="143"/>
      <c r="E88" s="333" t="s">
        <v>161</v>
      </c>
      <c r="F88" s="275">
        <f>F57</f>
        <v>2450959588.9400005</v>
      </c>
      <c r="G88" s="275">
        <f>G57</f>
        <v>2880674758.6900001</v>
      </c>
      <c r="H88" s="275">
        <f>H57</f>
        <v>429715169.75</v>
      </c>
    </row>
    <row r="89" spans="1:12" ht="21" customHeight="1">
      <c r="B89" s="143"/>
      <c r="C89" s="319"/>
      <c r="D89" s="143"/>
      <c r="E89" s="333" t="s">
        <v>243</v>
      </c>
      <c r="F89" s="275">
        <f>F60</f>
        <v>183714538.02000001</v>
      </c>
      <c r="G89" s="275">
        <f>G60</f>
        <v>195110675.59</v>
      </c>
      <c r="H89" s="275">
        <f>H60</f>
        <v>11396137.569999993</v>
      </c>
    </row>
    <row r="90" spans="1:12" ht="21" customHeight="1">
      <c r="B90" s="143"/>
      <c r="C90" s="319"/>
      <c r="D90" s="143"/>
      <c r="E90" s="333" t="s">
        <v>248</v>
      </c>
      <c r="F90" s="275">
        <f>F62</f>
        <v>0</v>
      </c>
      <c r="G90" s="275">
        <f>G62</f>
        <v>0</v>
      </c>
      <c r="H90" s="275">
        <f>H62</f>
        <v>0</v>
      </c>
    </row>
    <row r="91" spans="1:12" ht="21" customHeight="1">
      <c r="B91" s="143"/>
      <c r="C91" s="319"/>
      <c r="D91" s="143"/>
      <c r="E91" s="333" t="s">
        <v>249</v>
      </c>
      <c r="F91" s="275">
        <f>F84</f>
        <v>13333890578.539999</v>
      </c>
      <c r="G91" s="275">
        <f>G84</f>
        <v>15699472673.310003</v>
      </c>
      <c r="H91" s="275">
        <f>H84</f>
        <v>2365582094.7699986</v>
      </c>
    </row>
    <row r="92" spans="1:12" ht="21" customHeight="1">
      <c r="B92" s="143"/>
      <c r="C92" s="319"/>
      <c r="D92" s="143"/>
      <c r="E92" s="334" t="s">
        <v>816</v>
      </c>
      <c r="F92" s="321">
        <f>SUM(F87:F91)</f>
        <v>18191058112.93</v>
      </c>
      <c r="G92" s="321">
        <f>SUM(G87:G91)</f>
        <v>21400557137.420006</v>
      </c>
      <c r="H92" s="321">
        <f>SUM(H87:H91)</f>
        <v>3209499024.4899988</v>
      </c>
    </row>
    <row r="93" spans="1:12" ht="21" customHeight="1">
      <c r="B93" s="143"/>
      <c r="C93" s="319"/>
      <c r="D93" s="143"/>
      <c r="E93" s="335"/>
      <c r="F93" s="336"/>
      <c r="G93" s="336"/>
      <c r="H93" s="242"/>
    </row>
    <row r="94" spans="1:12" ht="21" customHeight="1">
      <c r="B94" s="143"/>
      <c r="C94" s="319"/>
      <c r="D94" s="143"/>
      <c r="E94" s="337" t="s">
        <v>330</v>
      </c>
      <c r="F94" s="330">
        <v>42462923.93</v>
      </c>
      <c r="G94" s="330">
        <v>52474134.439999998</v>
      </c>
      <c r="H94" s="162">
        <f t="shared" ref="H94:H99" si="2">G94-F94</f>
        <v>10011210.509999998</v>
      </c>
    </row>
    <row r="95" spans="1:12" ht="21" customHeight="1">
      <c r="B95" s="143"/>
      <c r="C95" s="319"/>
      <c r="D95" s="143"/>
      <c r="E95" s="337" t="s">
        <v>331</v>
      </c>
      <c r="F95" s="330">
        <v>3421348.91</v>
      </c>
      <c r="G95" s="330">
        <v>15314221.42</v>
      </c>
      <c r="H95" s="162">
        <f t="shared" si="2"/>
        <v>11892872.51</v>
      </c>
    </row>
    <row r="96" spans="1:12" ht="21" customHeight="1">
      <c r="B96" s="143"/>
      <c r="C96" s="319"/>
      <c r="D96" s="143"/>
      <c r="E96" s="337" t="s">
        <v>332</v>
      </c>
      <c r="F96" s="330">
        <v>0</v>
      </c>
      <c r="G96" s="330">
        <v>972121.63</v>
      </c>
      <c r="H96" s="162">
        <f t="shared" si="2"/>
        <v>972121.63</v>
      </c>
    </row>
    <row r="97" spans="1:13" ht="21" customHeight="1">
      <c r="B97" s="143"/>
      <c r="C97" s="319"/>
      <c r="D97" s="143"/>
      <c r="E97" s="338" t="s">
        <v>1949</v>
      </c>
      <c r="F97" s="264">
        <v>715699581.29999995</v>
      </c>
      <c r="G97" s="264">
        <v>1444954932.4000001</v>
      </c>
      <c r="H97" s="162">
        <f t="shared" si="2"/>
        <v>729255351.10000014</v>
      </c>
    </row>
    <row r="98" spans="1:13" ht="21" customHeight="1">
      <c r="B98" s="143"/>
      <c r="C98" s="319"/>
      <c r="D98" s="143"/>
      <c r="E98" s="338" t="s">
        <v>1483</v>
      </c>
      <c r="F98" s="264">
        <v>0</v>
      </c>
      <c r="G98" s="264">
        <v>0</v>
      </c>
      <c r="H98" s="162">
        <f t="shared" si="2"/>
        <v>0</v>
      </c>
    </row>
    <row r="99" spans="1:13" ht="21" customHeight="1">
      <c r="B99" s="143"/>
      <c r="C99" s="319"/>
      <c r="D99" s="143"/>
      <c r="E99" s="338" t="s">
        <v>334</v>
      </c>
      <c r="F99" s="264">
        <v>0</v>
      </c>
      <c r="G99" s="264">
        <v>0</v>
      </c>
      <c r="H99" s="162">
        <f t="shared" si="2"/>
        <v>0</v>
      </c>
    </row>
    <row r="100" spans="1:13" ht="21" customHeight="1">
      <c r="B100" s="143"/>
      <c r="C100" s="319"/>
      <c r="D100" s="143"/>
      <c r="E100" s="339" t="s">
        <v>817</v>
      </c>
      <c r="F100" s="266">
        <f>SUM(F94:F99)</f>
        <v>761583854.13999999</v>
      </c>
      <c r="G100" s="266">
        <f>SUM(G94:G99)</f>
        <v>1513715409.8900001</v>
      </c>
      <c r="H100" s="266">
        <f>SUM(H94:H99)</f>
        <v>752131555.75000012</v>
      </c>
    </row>
    <row r="101" spans="1:13" s="131" customFormat="1" ht="21" customHeight="1">
      <c r="A101" s="142"/>
      <c r="B101" s="143"/>
      <c r="C101" s="319"/>
      <c r="D101" s="143"/>
      <c r="E101" s="339" t="s">
        <v>1590</v>
      </c>
      <c r="F101" s="266">
        <f>F92+F100</f>
        <v>18952641967.07</v>
      </c>
      <c r="G101" s="266"/>
      <c r="H101" s="266"/>
      <c r="I101" s="171"/>
      <c r="J101" s="171"/>
      <c r="K101" s="142"/>
      <c r="L101" s="142"/>
    </row>
    <row r="102" spans="1:13" s="131" customFormat="1" ht="21" customHeight="1">
      <c r="A102" s="142"/>
      <c r="B102" s="143"/>
      <c r="C102" s="319"/>
      <c r="D102" s="143"/>
      <c r="E102" s="339" t="s">
        <v>1591</v>
      </c>
      <c r="F102" s="266">
        <v>1265750692.7</v>
      </c>
      <c r="G102" s="266"/>
      <c r="H102" s="266"/>
      <c r="I102" s="171"/>
      <c r="J102" s="171"/>
      <c r="K102" s="142"/>
      <c r="L102" s="142"/>
      <c r="M102" s="65"/>
    </row>
    <row r="103" spans="1:13" s="131" customFormat="1" ht="21" customHeight="1">
      <c r="A103" s="142"/>
      <c r="B103" s="143"/>
      <c r="C103" s="319"/>
      <c r="D103" s="143"/>
      <c r="E103" s="339" t="s">
        <v>1592</v>
      </c>
      <c r="F103" s="266">
        <f>F101+F102</f>
        <v>20218392659.77</v>
      </c>
      <c r="G103" s="266"/>
      <c r="H103" s="266"/>
      <c r="I103" s="171"/>
      <c r="J103" s="171"/>
      <c r="K103" s="142"/>
      <c r="L103" s="142"/>
    </row>
    <row r="104" spans="1:13" ht="21" customHeight="1">
      <c r="B104" s="143"/>
      <c r="C104" s="319"/>
      <c r="D104" s="143"/>
      <c r="E104" s="339" t="s">
        <v>1593</v>
      </c>
      <c r="F104" s="266">
        <f>F103-F105</f>
        <v>1767651852.1800003</v>
      </c>
      <c r="G104" s="266"/>
      <c r="H104" s="319"/>
      <c r="M104" s="65"/>
    </row>
    <row r="105" spans="1:13" ht="21" customHeight="1">
      <c r="B105" s="143"/>
      <c r="C105" s="319"/>
      <c r="D105" s="143"/>
      <c r="E105" s="339" t="s">
        <v>1594</v>
      </c>
      <c r="F105" s="321">
        <v>18450740807.59</v>
      </c>
      <c r="G105" s="321">
        <f>G100+G92</f>
        <v>22914272547.310005</v>
      </c>
      <c r="H105" s="321">
        <f>H100+H92</f>
        <v>3961630580.2399988</v>
      </c>
      <c r="M105" s="65"/>
    </row>
    <row r="106" spans="1:13" ht="15" customHeight="1">
      <c r="B106" s="252"/>
      <c r="C106" s="251"/>
      <c r="D106" s="252"/>
      <c r="E106" s="340"/>
      <c r="F106" s="341"/>
      <c r="G106" s="341"/>
      <c r="H106" s="341"/>
      <c r="M106" s="65"/>
    </row>
    <row r="107" spans="1:13" ht="21" customHeight="1">
      <c r="B107" s="599" t="s">
        <v>1998</v>
      </c>
      <c r="C107" s="599"/>
      <c r="D107" s="599"/>
      <c r="E107" s="599"/>
      <c r="F107" s="599"/>
      <c r="G107" s="599"/>
      <c r="H107" s="599"/>
      <c r="M107" s="65"/>
    </row>
    <row r="108" spans="1:13" ht="21" customHeight="1">
      <c r="B108" s="143">
        <v>1</v>
      </c>
      <c r="C108" s="58" t="s">
        <v>260</v>
      </c>
      <c r="D108" s="57" t="s">
        <v>263</v>
      </c>
      <c r="E108" s="316" t="s">
        <v>264</v>
      </c>
      <c r="F108" s="330">
        <v>4145247.73</v>
      </c>
      <c r="G108" s="330">
        <v>22303040.789999999</v>
      </c>
      <c r="H108" s="162">
        <f>G108-F108</f>
        <v>18157793.059999999</v>
      </c>
    </row>
    <row r="109" spans="1:13" ht="21" customHeight="1">
      <c r="B109" s="143">
        <v>2</v>
      </c>
      <c r="C109" s="58" t="s">
        <v>271</v>
      </c>
      <c r="D109" s="57" t="s">
        <v>265</v>
      </c>
      <c r="E109" s="312" t="s">
        <v>266</v>
      </c>
      <c r="F109" s="315">
        <v>108158543.81</v>
      </c>
      <c r="G109" s="315">
        <v>203744932.94</v>
      </c>
      <c r="H109" s="162">
        <f>G109-F109</f>
        <v>95586389.129999995</v>
      </c>
      <c r="M109" s="65"/>
    </row>
    <row r="110" spans="1:13" ht="21" customHeight="1">
      <c r="B110" s="143">
        <v>3</v>
      </c>
      <c r="C110" s="58" t="s">
        <v>281</v>
      </c>
      <c r="D110" s="57" t="s">
        <v>267</v>
      </c>
      <c r="E110" s="312" t="s">
        <v>268</v>
      </c>
      <c r="F110" s="315">
        <v>313172383.27999997</v>
      </c>
      <c r="G110" s="315">
        <v>584431670.75999999</v>
      </c>
      <c r="H110" s="162">
        <f>G110-F110</f>
        <v>271259287.48000002</v>
      </c>
    </row>
    <row r="111" spans="1:13" ht="21" customHeight="1">
      <c r="B111" s="143">
        <v>4</v>
      </c>
      <c r="C111" s="58" t="s">
        <v>284</v>
      </c>
      <c r="D111" s="57" t="s">
        <v>269</v>
      </c>
      <c r="E111" s="312" t="s">
        <v>270</v>
      </c>
      <c r="F111" s="315">
        <v>1034926.65</v>
      </c>
      <c r="G111" s="315">
        <v>2000000</v>
      </c>
      <c r="H111" s="162">
        <f>G111-F111</f>
        <v>965073.35</v>
      </c>
    </row>
    <row r="112" spans="1:13" ht="21" customHeight="1">
      <c r="B112" s="154"/>
      <c r="C112" s="242"/>
      <c r="D112" s="141"/>
      <c r="E112" s="320" t="s">
        <v>65</v>
      </c>
      <c r="F112" s="342">
        <f>SUM(F108:F111)</f>
        <v>426511101.46999997</v>
      </c>
      <c r="G112" s="342">
        <f>SUM(G108:G111)</f>
        <v>812479644.49000001</v>
      </c>
      <c r="H112" s="342">
        <f>SUM(H108:H111)</f>
        <v>385968543.02000004</v>
      </c>
    </row>
    <row r="114" spans="1:13" hidden="1">
      <c r="G114" s="343">
        <f>G105+G112</f>
        <v>23726752191.800007</v>
      </c>
    </row>
    <row r="115" spans="1:13" s="174" customFormat="1" ht="21" customHeight="1">
      <c r="A115" s="503"/>
      <c r="B115" s="599" t="s">
        <v>1999</v>
      </c>
      <c r="C115" s="599"/>
      <c r="D115" s="599"/>
      <c r="E115" s="599"/>
      <c r="F115" s="599"/>
      <c r="G115" s="599"/>
      <c r="H115" s="599"/>
      <c r="I115" s="171"/>
      <c r="J115" s="171"/>
      <c r="K115" s="503"/>
      <c r="L115" s="503"/>
      <c r="M115" s="65"/>
    </row>
    <row r="116" spans="1:13" s="174" customFormat="1" ht="21" customHeight="1">
      <c r="A116" s="503"/>
      <c r="B116" s="143">
        <v>1</v>
      </c>
      <c r="C116" s="58"/>
      <c r="D116" s="57">
        <v>430014</v>
      </c>
      <c r="E116" s="316" t="s">
        <v>689</v>
      </c>
      <c r="F116" s="330"/>
      <c r="G116" s="330">
        <v>100000000</v>
      </c>
      <c r="H116" s="162">
        <f>G116-F116</f>
        <v>100000000</v>
      </c>
      <c r="I116" s="171"/>
      <c r="J116" s="171"/>
      <c r="K116" s="503"/>
      <c r="L116" s="503"/>
    </row>
    <row r="117" spans="1:13" s="174" customFormat="1" ht="21" customHeight="1">
      <c r="A117" s="503"/>
      <c r="B117" s="143">
        <v>2</v>
      </c>
      <c r="C117" s="58"/>
      <c r="D117" s="57">
        <v>434016</v>
      </c>
      <c r="E117" s="316" t="s">
        <v>1580</v>
      </c>
      <c r="F117" s="315">
        <v>108000000</v>
      </c>
      <c r="G117" s="315">
        <v>150000000</v>
      </c>
      <c r="H117" s="162">
        <f>G117-F117</f>
        <v>42000000</v>
      </c>
      <c r="I117" s="171"/>
      <c r="J117" s="171"/>
      <c r="K117" s="503"/>
      <c r="L117" s="503"/>
      <c r="M117" s="65"/>
    </row>
    <row r="118" spans="1:13" s="174" customFormat="1" ht="21" customHeight="1">
      <c r="A118" s="503"/>
      <c r="B118" s="154"/>
      <c r="C118" s="242"/>
      <c r="D118" s="141"/>
      <c r="E118" s="320" t="s">
        <v>65</v>
      </c>
      <c r="F118" s="342">
        <f>SUM(F116:F117)</f>
        <v>108000000</v>
      </c>
      <c r="G118" s="342">
        <f>SUM(G116:G117)</f>
        <v>250000000</v>
      </c>
      <c r="H118" s="342">
        <f>SUM(H116:H117)</f>
        <v>142000000</v>
      </c>
      <c r="I118" s="171"/>
      <c r="J118" s="171"/>
      <c r="K118" s="503"/>
      <c r="L118" s="503"/>
    </row>
  </sheetData>
  <mergeCells count="6">
    <mergeCell ref="B115:H115"/>
    <mergeCell ref="B1:H1"/>
    <mergeCell ref="B2:H2"/>
    <mergeCell ref="B3:H3"/>
    <mergeCell ref="B4:H4"/>
    <mergeCell ref="B107:H107"/>
  </mergeCells>
  <pageMargins left="0.5" right="0.5" top="0.75" bottom="0.5" header="0.3" footer="0.5"/>
  <pageSetup paperSize="9" firstPageNumber="59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opLeftCell="A10" zoomScale="106" zoomScaleNormal="106" workbookViewId="0">
      <selection activeCell="D30" sqref="D30"/>
    </sheetView>
  </sheetViews>
  <sheetFormatPr defaultRowHeight="15"/>
  <cols>
    <col min="1" max="1" width="2.85546875" style="142" customWidth="1"/>
    <col min="2" max="2" width="9.85546875" style="170" customWidth="1"/>
    <col min="3" max="3" width="36.5703125" style="360" customWidth="1"/>
    <col min="4" max="4" width="20.7109375" style="151" customWidth="1"/>
    <col min="5" max="7" width="20.7109375" style="170" customWidth="1"/>
    <col min="8" max="8" width="9.140625" style="142"/>
    <col min="9" max="16384" width="9.140625" style="127"/>
  </cols>
  <sheetData>
    <row r="1" spans="1:11" ht="24.95" customHeight="1">
      <c r="B1" s="599" t="s">
        <v>0</v>
      </c>
      <c r="C1" s="599"/>
      <c r="D1" s="599"/>
      <c r="E1" s="599"/>
      <c r="F1" s="599"/>
      <c r="G1" s="599"/>
      <c r="H1" s="269"/>
      <c r="I1" s="16"/>
      <c r="J1" s="16"/>
    </row>
    <row r="2" spans="1:11" ht="24.95" customHeight="1">
      <c r="B2" s="600" t="s">
        <v>1571</v>
      </c>
      <c r="C2" s="600"/>
      <c r="D2" s="600"/>
      <c r="E2" s="600"/>
      <c r="F2" s="600"/>
      <c r="G2" s="600"/>
      <c r="H2" s="270"/>
      <c r="I2" s="16"/>
      <c r="J2" s="16"/>
    </row>
    <row r="3" spans="1:11" ht="24.95" customHeight="1">
      <c r="B3" s="600" t="s">
        <v>336</v>
      </c>
      <c r="C3" s="600"/>
      <c r="D3" s="600"/>
      <c r="E3" s="600"/>
      <c r="F3" s="600"/>
      <c r="G3" s="600"/>
      <c r="H3" s="270"/>
      <c r="I3" s="128"/>
      <c r="J3" s="128"/>
      <c r="K3" s="128"/>
    </row>
    <row r="4" spans="1:11" ht="24.95" customHeight="1">
      <c r="B4" s="599" t="s">
        <v>1934</v>
      </c>
      <c r="C4" s="599"/>
      <c r="D4" s="599"/>
      <c r="E4" s="599"/>
      <c r="F4" s="599"/>
      <c r="G4" s="599"/>
      <c r="H4" s="269"/>
      <c r="I4" s="129"/>
      <c r="J4" s="129"/>
      <c r="K4" s="129"/>
    </row>
    <row r="5" spans="1:11" ht="8.25" customHeight="1"/>
    <row r="6" spans="1:11" ht="20.100000000000001" customHeight="1">
      <c r="B6" s="143"/>
      <c r="C6" s="349"/>
      <c r="D6" s="608" t="s">
        <v>1468</v>
      </c>
      <c r="E6" s="609"/>
      <c r="F6" s="610"/>
      <c r="G6" s="154">
        <v>2017</v>
      </c>
    </row>
    <row r="7" spans="1:11" ht="20.100000000000001" customHeight="1">
      <c r="B7" s="179" t="s">
        <v>89</v>
      </c>
      <c r="C7" s="190" t="s">
        <v>686</v>
      </c>
      <c r="D7" s="179" t="s">
        <v>819</v>
      </c>
      <c r="E7" s="179" t="s">
        <v>91</v>
      </c>
      <c r="F7" s="179" t="s">
        <v>93</v>
      </c>
      <c r="G7" s="179" t="s">
        <v>819</v>
      </c>
    </row>
    <row r="8" spans="1:11" ht="17.25" customHeight="1">
      <c r="B8" s="154"/>
      <c r="C8" s="190"/>
      <c r="D8" s="182" t="s">
        <v>1458</v>
      </c>
      <c r="E8" s="182" t="s">
        <v>1458</v>
      </c>
      <c r="F8" s="182" t="s">
        <v>1458</v>
      </c>
      <c r="G8" s="182" t="s">
        <v>1458</v>
      </c>
    </row>
    <row r="9" spans="1:11" ht="22.5" customHeight="1">
      <c r="B9" s="143">
        <v>434001</v>
      </c>
      <c r="C9" s="349" t="s">
        <v>687</v>
      </c>
      <c r="D9" s="331">
        <v>5040350114</v>
      </c>
      <c r="E9" s="331">
        <v>5100000000</v>
      </c>
      <c r="F9" s="162">
        <f>E9-D9</f>
        <v>59649886</v>
      </c>
      <c r="G9" s="331">
        <v>1693578776.5599999</v>
      </c>
    </row>
    <row r="10" spans="1:11" s="4" customFormat="1" ht="22.5" customHeight="1">
      <c r="A10" s="204"/>
      <c r="B10" s="31">
        <v>434002</v>
      </c>
      <c r="C10" s="350" t="s">
        <v>688</v>
      </c>
      <c r="D10" s="13">
        <v>231589786.09</v>
      </c>
      <c r="E10" s="331">
        <v>1000000000</v>
      </c>
      <c r="F10" s="162">
        <f t="shared" ref="F10:F11" si="0">E10-D10</f>
        <v>768410213.90999997</v>
      </c>
      <c r="G10" s="264">
        <v>0</v>
      </c>
      <c r="H10" s="204"/>
    </row>
    <row r="11" spans="1:11" s="26" customFormat="1" ht="22.5" customHeight="1">
      <c r="A11" s="263"/>
      <c r="B11" s="31">
        <v>434017</v>
      </c>
      <c r="C11" s="350" t="s">
        <v>1484</v>
      </c>
      <c r="D11" s="13">
        <v>0</v>
      </c>
      <c r="E11" s="331">
        <v>50048060.090000004</v>
      </c>
      <c r="F11" s="162">
        <f t="shared" si="0"/>
        <v>50048060.090000004</v>
      </c>
      <c r="G11" s="264">
        <v>0</v>
      </c>
      <c r="H11" s="263"/>
    </row>
    <row r="12" spans="1:11" s="30" customFormat="1" ht="20.100000000000001" customHeight="1">
      <c r="A12" s="352"/>
      <c r="B12" s="353"/>
      <c r="C12" s="354" t="s">
        <v>65</v>
      </c>
      <c r="D12" s="293">
        <f>SUM(D9:D11)</f>
        <v>5271939900.0900002</v>
      </c>
      <c r="E12" s="293">
        <f>SUM(E9:E11)</f>
        <v>6150048060.0900002</v>
      </c>
      <c r="F12" s="293">
        <f>SUM(F9:F11)</f>
        <v>878108160</v>
      </c>
      <c r="G12" s="293">
        <f>SUM(G9:G11)</f>
        <v>1693578776.5599999</v>
      </c>
      <c r="H12" s="352"/>
    </row>
    <row r="13" spans="1:11" s="30" customFormat="1" ht="20.100000000000001" customHeight="1">
      <c r="A13" s="352"/>
      <c r="B13" s="505"/>
      <c r="C13" s="506"/>
      <c r="D13" s="61"/>
      <c r="E13" s="61"/>
      <c r="F13" s="61"/>
      <c r="G13" s="61"/>
      <c r="H13" s="352"/>
    </row>
    <row r="14" spans="1:11" s="30" customFormat="1" ht="20.100000000000001" customHeight="1">
      <c r="A14" s="352"/>
      <c r="B14" s="505"/>
      <c r="C14" s="506"/>
      <c r="D14" s="61"/>
      <c r="E14" s="61"/>
      <c r="F14" s="61"/>
      <c r="G14" s="61"/>
      <c r="H14" s="352"/>
    </row>
    <row r="15" spans="1:11" s="27" customFormat="1" ht="20.100000000000001" customHeight="1">
      <c r="A15" s="265"/>
      <c r="B15" s="611" t="s">
        <v>1935</v>
      </c>
      <c r="C15" s="611"/>
      <c r="D15" s="611"/>
      <c r="E15" s="611"/>
      <c r="F15" s="611"/>
      <c r="G15" s="611"/>
      <c r="H15" s="265"/>
    </row>
    <row r="16" spans="1:11" s="27" customFormat="1" ht="16.5" customHeight="1">
      <c r="A16" s="265"/>
      <c r="B16" s="355"/>
      <c r="C16" s="355"/>
      <c r="D16" s="608" t="s">
        <v>1468</v>
      </c>
      <c r="E16" s="609"/>
      <c r="F16" s="610"/>
      <c r="G16" s="154">
        <v>2017</v>
      </c>
      <c r="H16" s="265"/>
    </row>
    <row r="17" spans="1:8" s="27" customFormat="1" ht="16.5" customHeight="1">
      <c r="A17" s="265"/>
      <c r="B17" s="179" t="s">
        <v>89</v>
      </c>
      <c r="C17" s="190" t="s">
        <v>686</v>
      </c>
      <c r="D17" s="179" t="s">
        <v>819</v>
      </c>
      <c r="E17" s="179" t="s">
        <v>91</v>
      </c>
      <c r="F17" s="179" t="s">
        <v>93</v>
      </c>
      <c r="G17" s="179" t="s">
        <v>819</v>
      </c>
      <c r="H17" s="265"/>
    </row>
    <row r="18" spans="1:8" s="27" customFormat="1" ht="16.5" customHeight="1">
      <c r="A18" s="265"/>
      <c r="B18" s="154"/>
      <c r="C18" s="190"/>
      <c r="D18" s="182" t="s">
        <v>1458</v>
      </c>
      <c r="E18" s="182" t="s">
        <v>1458</v>
      </c>
      <c r="F18" s="182" t="s">
        <v>1458</v>
      </c>
      <c r="G18" s="182" t="s">
        <v>1458</v>
      </c>
      <c r="H18" s="265"/>
    </row>
    <row r="19" spans="1:8" ht="16.5" customHeight="1">
      <c r="B19" s="356">
        <v>434003</v>
      </c>
      <c r="C19" s="357" t="s">
        <v>1471</v>
      </c>
      <c r="D19" s="358">
        <v>65000000</v>
      </c>
      <c r="E19" s="358">
        <v>550000000</v>
      </c>
      <c r="F19" s="275">
        <f>E19-D19</f>
        <v>485000000</v>
      </c>
      <c r="G19" s="264">
        <v>60550000</v>
      </c>
    </row>
    <row r="20" spans="1:8" s="135" customFormat="1" ht="16.5" customHeight="1">
      <c r="A20" s="142"/>
      <c r="B20" s="356">
        <v>434003</v>
      </c>
      <c r="C20" s="357" t="s">
        <v>1942</v>
      </c>
      <c r="D20" s="358">
        <v>193278818.27000001</v>
      </c>
      <c r="E20" s="358"/>
      <c r="F20" s="275"/>
      <c r="G20" s="264"/>
      <c r="H20" s="142"/>
    </row>
    <row r="21" spans="1:8" s="135" customFormat="1" ht="16.5" customHeight="1">
      <c r="A21" s="142"/>
      <c r="B21" s="356">
        <v>434003</v>
      </c>
      <c r="C21" s="357" t="s">
        <v>1943</v>
      </c>
      <c r="D21" s="358">
        <v>236210068.33000001</v>
      </c>
      <c r="E21" s="358">
        <v>11472863958.4</v>
      </c>
      <c r="F21" s="275">
        <f>E21-D20-D21-D23</f>
        <v>6404075503.5699987</v>
      </c>
      <c r="G21" s="264"/>
      <c r="H21" s="142"/>
    </row>
    <row r="22" spans="1:8" ht="16.5" customHeight="1">
      <c r="B22" s="356">
        <v>434005</v>
      </c>
      <c r="C22" s="357" t="s">
        <v>1469</v>
      </c>
      <c r="D22" s="358">
        <v>191523347.93000001</v>
      </c>
      <c r="E22" s="358"/>
      <c r="F22" s="275">
        <f>E22-D22</f>
        <v>-191523347.93000001</v>
      </c>
      <c r="G22" s="264"/>
    </row>
    <row r="23" spans="1:8" ht="16.5" customHeight="1">
      <c r="B23" s="356">
        <v>434005</v>
      </c>
      <c r="C23" s="357" t="s">
        <v>1470</v>
      </c>
      <c r="D23" s="358">
        <f>'D LOANS REPYT '!H19</f>
        <v>4639299568.2300005</v>
      </c>
      <c r="E23" s="358"/>
      <c r="F23" s="275"/>
      <c r="G23" s="264">
        <v>7028430295.3900003</v>
      </c>
    </row>
    <row r="24" spans="1:8" ht="16.5" customHeight="1">
      <c r="B24" s="143"/>
      <c r="C24" s="305" t="s">
        <v>65</v>
      </c>
      <c r="D24" s="266">
        <f>SUM(D19:D23)</f>
        <v>5325311802.7600002</v>
      </c>
      <c r="E24" s="266">
        <f>SUM(E19:E23)</f>
        <v>12022863958.4</v>
      </c>
      <c r="F24" s="266">
        <f>SUM(F19:F23)</f>
        <v>6697552155.6399984</v>
      </c>
      <c r="G24" s="266">
        <f>SUM(G19:G23)</f>
        <v>7088980295.3900003</v>
      </c>
    </row>
    <row r="26" spans="1:8" hidden="1">
      <c r="E26" s="151">
        <f>E24+E12</f>
        <v>18172912018.489998</v>
      </c>
      <c r="F26" s="150"/>
    </row>
    <row r="27" spans="1:8">
      <c r="G27" s="150"/>
    </row>
  </sheetData>
  <mergeCells count="7">
    <mergeCell ref="D16:F16"/>
    <mergeCell ref="B1:G1"/>
    <mergeCell ref="B2:G2"/>
    <mergeCell ref="B3:G3"/>
    <mergeCell ref="B4:G4"/>
    <mergeCell ref="D6:F6"/>
    <mergeCell ref="B15:G15"/>
  </mergeCells>
  <pageMargins left="0.5" right="0.5" top="0.75" bottom="0.5" header="0.3" footer="0.5"/>
  <pageSetup paperSize="9" firstPageNumber="64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7"/>
  <sheetViews>
    <sheetView topLeftCell="A186" workbookViewId="0">
      <selection activeCell="G195" sqref="G195"/>
    </sheetView>
  </sheetViews>
  <sheetFormatPr defaultRowHeight="15"/>
  <cols>
    <col min="1" max="1" width="2.85546875" style="142" customWidth="1"/>
    <col min="2" max="2" width="6.28515625" style="170" customWidth="1"/>
    <col min="3" max="3" width="14.42578125" style="170" customWidth="1"/>
    <col min="4" max="4" width="10.5703125" style="170" customWidth="1"/>
    <col min="5" max="5" width="42.42578125" style="360" customWidth="1"/>
    <col min="6" max="7" width="17.7109375" style="151" customWidth="1"/>
    <col min="8" max="8" width="17.7109375" style="170" customWidth="1"/>
    <col min="9" max="10" width="9.140625" style="142"/>
    <col min="11" max="16384" width="9.140625" style="127"/>
  </cols>
  <sheetData>
    <row r="1" spans="1:11" ht="21.95" customHeight="1">
      <c r="B1" s="599" t="s">
        <v>0</v>
      </c>
      <c r="C1" s="599"/>
      <c r="D1" s="599"/>
      <c r="E1" s="599"/>
      <c r="F1" s="599"/>
      <c r="G1" s="599"/>
      <c r="H1" s="599"/>
      <c r="I1" s="171"/>
      <c r="J1" s="171"/>
    </row>
    <row r="2" spans="1:11" ht="21.95" customHeight="1">
      <c r="B2" s="600" t="s">
        <v>1571</v>
      </c>
      <c r="C2" s="600"/>
      <c r="D2" s="600"/>
      <c r="E2" s="600"/>
      <c r="F2" s="600"/>
      <c r="G2" s="600"/>
      <c r="H2" s="600"/>
      <c r="I2" s="171"/>
      <c r="J2" s="171"/>
    </row>
    <row r="3" spans="1:11" ht="21.95" customHeight="1">
      <c r="B3" s="600" t="s">
        <v>336</v>
      </c>
      <c r="C3" s="600"/>
      <c r="D3" s="600"/>
      <c r="E3" s="600"/>
      <c r="F3" s="600"/>
      <c r="G3" s="600"/>
      <c r="H3" s="600"/>
      <c r="I3" s="298"/>
      <c r="J3" s="298"/>
      <c r="K3" s="128"/>
    </row>
    <row r="4" spans="1:11" ht="21.95" customHeight="1">
      <c r="B4" s="599" t="s">
        <v>1936</v>
      </c>
      <c r="C4" s="599"/>
      <c r="D4" s="599"/>
      <c r="E4" s="599"/>
      <c r="F4" s="599"/>
      <c r="G4" s="599"/>
      <c r="H4" s="599"/>
      <c r="I4" s="299"/>
      <c r="J4" s="299"/>
      <c r="K4" s="129"/>
    </row>
    <row r="5" spans="1:11" ht="12.75" customHeight="1">
      <c r="B5" s="361"/>
      <c r="C5" s="361"/>
    </row>
    <row r="6" spans="1:11" s="16" customFormat="1" ht="20.100000000000001" customHeight="1">
      <c r="A6" s="171"/>
      <c r="B6" s="304" t="s">
        <v>87</v>
      </c>
      <c r="C6" s="304" t="s">
        <v>88</v>
      </c>
      <c r="D6" s="304" t="s">
        <v>89</v>
      </c>
      <c r="E6" s="305" t="s">
        <v>337</v>
      </c>
      <c r="F6" s="304" t="s">
        <v>92</v>
      </c>
      <c r="G6" s="304" t="s">
        <v>91</v>
      </c>
      <c r="H6" s="304" t="s">
        <v>93</v>
      </c>
      <c r="I6" s="171"/>
      <c r="J6" s="171"/>
    </row>
    <row r="7" spans="1:11" s="16" customFormat="1" ht="20.100000000000001" customHeight="1">
      <c r="A7" s="171"/>
      <c r="B7" s="141"/>
      <c r="C7" s="141"/>
      <c r="D7" s="141"/>
      <c r="E7" s="305"/>
      <c r="F7" s="182" t="s">
        <v>1458</v>
      </c>
      <c r="G7" s="182" t="s">
        <v>1458</v>
      </c>
      <c r="H7" s="182" t="s">
        <v>1458</v>
      </c>
      <c r="I7" s="171"/>
      <c r="J7" s="171"/>
    </row>
    <row r="8" spans="1:11" s="16" customFormat="1" ht="20.100000000000001" customHeight="1">
      <c r="A8" s="171"/>
      <c r="B8" s="141"/>
      <c r="C8" s="141"/>
      <c r="D8" s="141"/>
      <c r="E8" s="311" t="s">
        <v>90</v>
      </c>
      <c r="F8" s="296"/>
      <c r="G8" s="296"/>
      <c r="H8" s="242"/>
      <c r="I8" s="171"/>
      <c r="J8" s="171"/>
    </row>
    <row r="9" spans="1:11" s="16" customFormat="1" ht="20.100000000000001" customHeight="1">
      <c r="A9" s="171"/>
      <c r="B9" s="143">
        <v>1</v>
      </c>
      <c r="C9" s="56" t="s">
        <v>338</v>
      </c>
      <c r="D9" s="31" t="s">
        <v>94</v>
      </c>
      <c r="E9" s="312" t="s">
        <v>95</v>
      </c>
      <c r="F9" s="13">
        <v>19599913.289999999</v>
      </c>
      <c r="G9" s="13">
        <v>20000000</v>
      </c>
      <c r="H9" s="162">
        <f>G9-F9</f>
        <v>400086.71000000089</v>
      </c>
      <c r="I9" s="171"/>
      <c r="J9" s="171"/>
    </row>
    <row r="10" spans="1:11" s="16" customFormat="1" ht="20.100000000000001" customHeight="1">
      <c r="A10" s="171"/>
      <c r="B10" s="143">
        <v>2</v>
      </c>
      <c r="C10" s="58" t="s">
        <v>339</v>
      </c>
      <c r="D10" s="31" t="s">
        <v>340</v>
      </c>
      <c r="E10" s="312" t="s">
        <v>341</v>
      </c>
      <c r="F10" s="13">
        <v>2860000</v>
      </c>
      <c r="G10" s="13">
        <v>7937277.0599999996</v>
      </c>
      <c r="H10" s="162">
        <f t="shared" ref="H10:H73" si="0">G10-F10</f>
        <v>5077277.0599999996</v>
      </c>
      <c r="I10" s="171"/>
      <c r="J10" s="171"/>
    </row>
    <row r="11" spans="1:11" s="16" customFormat="1" ht="20.100000000000001" customHeight="1">
      <c r="A11" s="171"/>
      <c r="B11" s="143">
        <v>3</v>
      </c>
      <c r="C11" s="58" t="s">
        <v>96</v>
      </c>
      <c r="D11" s="31" t="s">
        <v>97</v>
      </c>
      <c r="E11" s="312" t="s">
        <v>98</v>
      </c>
      <c r="F11" s="13">
        <v>143400490</v>
      </c>
      <c r="G11" s="13">
        <v>147406574.05000001</v>
      </c>
      <c r="H11" s="162">
        <f t="shared" si="0"/>
        <v>4006084.0500000119</v>
      </c>
      <c r="I11" s="171"/>
      <c r="J11" s="171"/>
    </row>
    <row r="12" spans="1:11" s="16" customFormat="1" ht="20.100000000000001" customHeight="1">
      <c r="A12" s="171"/>
      <c r="B12" s="143">
        <v>4</v>
      </c>
      <c r="C12" s="58" t="s">
        <v>342</v>
      </c>
      <c r="D12" s="31" t="s">
        <v>343</v>
      </c>
      <c r="E12" s="312" t="s">
        <v>344</v>
      </c>
      <c r="F12" s="13">
        <v>1300000</v>
      </c>
      <c r="G12" s="13">
        <v>3401690.17</v>
      </c>
      <c r="H12" s="162">
        <f t="shared" si="0"/>
        <v>2101690.17</v>
      </c>
      <c r="I12" s="171"/>
      <c r="J12" s="171"/>
    </row>
    <row r="13" spans="1:11" s="16" customFormat="1" ht="20.100000000000001" customHeight="1">
      <c r="A13" s="171"/>
      <c r="B13" s="143">
        <v>5</v>
      </c>
      <c r="C13" s="58" t="s">
        <v>345</v>
      </c>
      <c r="D13" s="31" t="s">
        <v>346</v>
      </c>
      <c r="E13" s="312" t="s">
        <v>347</v>
      </c>
      <c r="F13" s="13">
        <v>0</v>
      </c>
      <c r="G13" s="13">
        <v>2535586.89</v>
      </c>
      <c r="H13" s="162">
        <f t="shared" si="0"/>
        <v>2535586.89</v>
      </c>
      <c r="I13" s="171"/>
      <c r="J13" s="171"/>
    </row>
    <row r="14" spans="1:11" s="16" customFormat="1" ht="20.100000000000001" customHeight="1">
      <c r="A14" s="171"/>
      <c r="B14" s="143">
        <v>6</v>
      </c>
      <c r="C14" s="58" t="s">
        <v>348</v>
      </c>
      <c r="D14" s="31" t="s">
        <v>349</v>
      </c>
      <c r="E14" s="312" t="s">
        <v>350</v>
      </c>
      <c r="F14" s="13">
        <v>0</v>
      </c>
      <c r="G14" s="13">
        <v>1020507.05</v>
      </c>
      <c r="H14" s="162">
        <f t="shared" si="0"/>
        <v>1020507.05</v>
      </c>
      <c r="I14" s="171"/>
      <c r="J14" s="171"/>
    </row>
    <row r="15" spans="1:11" s="16" customFormat="1" ht="20.100000000000001" customHeight="1">
      <c r="A15" s="171"/>
      <c r="B15" s="143">
        <v>7</v>
      </c>
      <c r="C15" s="58" t="s">
        <v>99</v>
      </c>
      <c r="D15" s="31" t="s">
        <v>100</v>
      </c>
      <c r="E15" s="312" t="s">
        <v>101</v>
      </c>
      <c r="F15" s="13">
        <v>1200000</v>
      </c>
      <c r="G15" s="13">
        <v>2551267.63</v>
      </c>
      <c r="H15" s="162">
        <f t="shared" si="0"/>
        <v>1351267.63</v>
      </c>
      <c r="I15" s="171"/>
      <c r="J15" s="171"/>
    </row>
    <row r="16" spans="1:11" s="16" customFormat="1" ht="20.100000000000001" customHeight="1">
      <c r="A16" s="171"/>
      <c r="B16" s="143">
        <v>8</v>
      </c>
      <c r="C16" s="175" t="s">
        <v>1969</v>
      </c>
      <c r="D16" s="31" t="s">
        <v>351</v>
      </c>
      <c r="E16" s="312" t="s">
        <v>352</v>
      </c>
      <c r="F16" s="13">
        <v>0</v>
      </c>
      <c r="G16" s="13">
        <v>5669483.6200000001</v>
      </c>
      <c r="H16" s="162">
        <f t="shared" si="0"/>
        <v>5669483.6200000001</v>
      </c>
      <c r="I16" s="171"/>
      <c r="J16" s="171"/>
    </row>
    <row r="17" spans="1:10" s="16" customFormat="1" ht="20.100000000000001" customHeight="1">
      <c r="A17" s="171"/>
      <c r="B17" s="143">
        <v>9</v>
      </c>
      <c r="C17" s="58" t="s">
        <v>102</v>
      </c>
      <c r="D17" s="31" t="s">
        <v>103</v>
      </c>
      <c r="E17" s="312" t="s">
        <v>104</v>
      </c>
      <c r="F17" s="13">
        <v>660000</v>
      </c>
      <c r="G17" s="13">
        <v>1700845.09</v>
      </c>
      <c r="H17" s="162">
        <f t="shared" si="0"/>
        <v>1040845.0900000001</v>
      </c>
      <c r="I17" s="171"/>
      <c r="J17" s="171"/>
    </row>
    <row r="18" spans="1:10" s="16" customFormat="1" ht="20.100000000000001" customHeight="1">
      <c r="A18" s="171"/>
      <c r="B18" s="143">
        <v>10</v>
      </c>
      <c r="C18" s="58" t="s">
        <v>353</v>
      </c>
      <c r="D18" s="31" t="s">
        <v>354</v>
      </c>
      <c r="E18" s="312" t="s">
        <v>355</v>
      </c>
      <c r="F18" s="13">
        <v>2270000</v>
      </c>
      <c r="G18" s="13">
        <v>5303380.34</v>
      </c>
      <c r="H18" s="162">
        <f t="shared" si="0"/>
        <v>3033380.34</v>
      </c>
      <c r="I18" s="171"/>
      <c r="J18" s="171"/>
    </row>
    <row r="19" spans="1:10" s="16" customFormat="1" ht="20.100000000000001" customHeight="1">
      <c r="A19" s="171"/>
      <c r="B19" s="143">
        <v>11</v>
      </c>
      <c r="C19" s="58" t="s">
        <v>356</v>
      </c>
      <c r="D19" s="31" t="s">
        <v>357</v>
      </c>
      <c r="E19" s="316" t="s">
        <v>358</v>
      </c>
      <c r="F19" s="13">
        <v>1200000</v>
      </c>
      <c r="G19" s="13">
        <v>4000000</v>
      </c>
      <c r="H19" s="162">
        <f t="shared" si="0"/>
        <v>2800000</v>
      </c>
      <c r="I19" s="171"/>
      <c r="J19" s="171"/>
    </row>
    <row r="20" spans="1:10" s="17" customFormat="1" ht="20.100000000000001" customHeight="1">
      <c r="A20" s="251"/>
      <c r="B20" s="143">
        <v>12</v>
      </c>
      <c r="C20" s="58" t="s">
        <v>359</v>
      </c>
      <c r="D20" s="31" t="s">
        <v>360</v>
      </c>
      <c r="E20" s="316" t="s">
        <v>361</v>
      </c>
      <c r="F20" s="13">
        <v>900000</v>
      </c>
      <c r="G20" s="13">
        <v>1700845.09</v>
      </c>
      <c r="H20" s="162">
        <f t="shared" si="0"/>
        <v>800845.09000000008</v>
      </c>
      <c r="I20" s="251"/>
      <c r="J20" s="251"/>
    </row>
    <row r="21" spans="1:10" s="17" customFormat="1" ht="20.100000000000001" customHeight="1">
      <c r="A21" s="251"/>
      <c r="B21" s="143">
        <v>13</v>
      </c>
      <c r="C21" s="58" t="s">
        <v>362</v>
      </c>
      <c r="D21" s="31" t="s">
        <v>363</v>
      </c>
      <c r="E21" s="316" t="s">
        <v>364</v>
      </c>
      <c r="F21" s="13">
        <v>2400000</v>
      </c>
      <c r="G21" s="13">
        <v>3500000</v>
      </c>
      <c r="H21" s="162">
        <f t="shared" si="0"/>
        <v>1100000</v>
      </c>
      <c r="I21" s="251"/>
      <c r="J21" s="251"/>
    </row>
    <row r="22" spans="1:10" s="17" customFormat="1" ht="20.100000000000001" customHeight="1">
      <c r="A22" s="251"/>
      <c r="B22" s="143">
        <v>14</v>
      </c>
      <c r="C22" s="58" t="s">
        <v>365</v>
      </c>
      <c r="D22" s="31" t="s">
        <v>366</v>
      </c>
      <c r="E22" s="316" t="s">
        <v>367</v>
      </c>
      <c r="F22" s="13">
        <v>16543600</v>
      </c>
      <c r="G22" s="13">
        <v>20000000</v>
      </c>
      <c r="H22" s="162">
        <f t="shared" si="0"/>
        <v>3456400</v>
      </c>
      <c r="I22" s="251"/>
      <c r="J22" s="251"/>
    </row>
    <row r="23" spans="1:10" s="17" customFormat="1" ht="20.100000000000001" customHeight="1">
      <c r="A23" s="251"/>
      <c r="B23" s="143">
        <v>15</v>
      </c>
      <c r="C23" s="58" t="s">
        <v>105</v>
      </c>
      <c r="D23" s="31" t="s">
        <v>106</v>
      </c>
      <c r="E23" s="316" t="s">
        <v>107</v>
      </c>
      <c r="F23" s="13">
        <v>4160000</v>
      </c>
      <c r="G23" s="13">
        <v>6803380.3399999999</v>
      </c>
      <c r="H23" s="162">
        <f t="shared" si="0"/>
        <v>2643380.34</v>
      </c>
      <c r="I23" s="251"/>
      <c r="J23" s="251"/>
    </row>
    <row r="24" spans="1:10" s="17" customFormat="1" ht="20.100000000000001" customHeight="1">
      <c r="A24" s="251"/>
      <c r="B24" s="143">
        <v>16</v>
      </c>
      <c r="C24" s="58" t="s">
        <v>368</v>
      </c>
      <c r="D24" s="31" t="s">
        <v>369</v>
      </c>
      <c r="E24" s="316" t="s">
        <v>370</v>
      </c>
      <c r="F24" s="13">
        <v>1300000</v>
      </c>
      <c r="G24" s="13">
        <v>1632811.28</v>
      </c>
      <c r="H24" s="162">
        <f t="shared" si="0"/>
        <v>332811.28000000003</v>
      </c>
      <c r="I24" s="251"/>
      <c r="J24" s="251"/>
    </row>
    <row r="25" spans="1:10" s="17" customFormat="1" ht="20.100000000000001" customHeight="1">
      <c r="A25" s="251"/>
      <c r="B25" s="143">
        <v>17</v>
      </c>
      <c r="C25" s="58" t="s">
        <v>371</v>
      </c>
      <c r="D25" s="31" t="s">
        <v>372</v>
      </c>
      <c r="E25" s="316" t="s">
        <v>373</v>
      </c>
      <c r="F25" s="13">
        <v>1300000</v>
      </c>
      <c r="G25" s="13">
        <v>3551267.63</v>
      </c>
      <c r="H25" s="162">
        <f t="shared" si="0"/>
        <v>2251267.63</v>
      </c>
      <c r="I25" s="251"/>
      <c r="J25" s="251"/>
    </row>
    <row r="26" spans="1:10" s="17" customFormat="1" ht="20.100000000000001" customHeight="1">
      <c r="A26" s="251"/>
      <c r="B26" s="143">
        <v>18</v>
      </c>
      <c r="C26" s="59" t="s">
        <v>374</v>
      </c>
      <c r="D26" s="31" t="s">
        <v>375</v>
      </c>
      <c r="E26" s="316" t="s">
        <v>376</v>
      </c>
      <c r="F26" s="13">
        <v>1137500</v>
      </c>
      <c r="G26" s="13">
        <v>2041014.1</v>
      </c>
      <c r="H26" s="162">
        <f t="shared" si="0"/>
        <v>903514.10000000009</v>
      </c>
      <c r="I26" s="251"/>
      <c r="J26" s="251"/>
    </row>
    <row r="27" spans="1:10" s="17" customFormat="1" ht="20.100000000000001" customHeight="1">
      <c r="A27" s="251"/>
      <c r="B27" s="143">
        <v>19</v>
      </c>
      <c r="C27" s="143" t="s">
        <v>377</v>
      </c>
      <c r="D27" s="143" t="s">
        <v>378</v>
      </c>
      <c r="E27" s="144" t="s">
        <v>379</v>
      </c>
      <c r="F27" s="264">
        <v>880000</v>
      </c>
      <c r="G27" s="264">
        <v>5669483.6200000001</v>
      </c>
      <c r="H27" s="162">
        <f t="shared" si="0"/>
        <v>4789483.62</v>
      </c>
      <c r="I27" s="251"/>
      <c r="J27" s="251"/>
    </row>
    <row r="28" spans="1:10" s="17" customFormat="1" ht="20.100000000000001" customHeight="1">
      <c r="A28" s="251"/>
      <c r="B28" s="143">
        <v>20</v>
      </c>
      <c r="C28" s="143" t="s">
        <v>110</v>
      </c>
      <c r="D28" s="143" t="s">
        <v>111</v>
      </c>
      <c r="E28" s="144" t="s">
        <v>112</v>
      </c>
      <c r="F28" s="351">
        <v>6160000</v>
      </c>
      <c r="G28" s="351">
        <v>10123042.310000001</v>
      </c>
      <c r="H28" s="162">
        <f t="shared" si="0"/>
        <v>3963042.3100000005</v>
      </c>
      <c r="I28" s="251"/>
      <c r="J28" s="251"/>
    </row>
    <row r="29" spans="1:10" s="17" customFormat="1" ht="20.100000000000001" customHeight="1">
      <c r="A29" s="251"/>
      <c r="B29" s="143">
        <v>21</v>
      </c>
      <c r="C29" s="143" t="s">
        <v>113</v>
      </c>
      <c r="D29" s="143" t="s">
        <v>114</v>
      </c>
      <c r="E29" s="144" t="s">
        <v>115</v>
      </c>
      <c r="F29" s="351">
        <v>15526760</v>
      </c>
      <c r="G29" s="351">
        <v>17455049.559999999</v>
      </c>
      <c r="H29" s="162">
        <f t="shared" si="0"/>
        <v>1928289.5599999987</v>
      </c>
      <c r="I29" s="251"/>
      <c r="J29" s="251"/>
    </row>
    <row r="30" spans="1:10" s="17" customFormat="1" ht="20.100000000000001" customHeight="1">
      <c r="A30" s="251"/>
      <c r="B30" s="143">
        <v>22</v>
      </c>
      <c r="C30" s="59" t="s">
        <v>380</v>
      </c>
      <c r="D30" s="31" t="s">
        <v>381</v>
      </c>
      <c r="E30" s="316" t="s">
        <v>382</v>
      </c>
      <c r="F30" s="363">
        <v>260000</v>
      </c>
      <c r="G30" s="363">
        <v>3000000</v>
      </c>
      <c r="H30" s="162">
        <f t="shared" si="0"/>
        <v>2740000</v>
      </c>
      <c r="I30" s="251"/>
      <c r="J30" s="251"/>
    </row>
    <row r="31" spans="1:10" s="17" customFormat="1" ht="20.100000000000001" customHeight="1">
      <c r="A31" s="251"/>
      <c r="B31" s="143">
        <v>23</v>
      </c>
      <c r="C31" s="59" t="s">
        <v>383</v>
      </c>
      <c r="D31" s="31" t="s">
        <v>384</v>
      </c>
      <c r="E31" s="316" t="s">
        <v>385</v>
      </c>
      <c r="F31" s="13">
        <v>6000000</v>
      </c>
      <c r="G31" s="13">
        <v>8633295.8300000001</v>
      </c>
      <c r="H31" s="162">
        <f t="shared" si="0"/>
        <v>2633295.83</v>
      </c>
      <c r="I31" s="251"/>
      <c r="J31" s="251"/>
    </row>
    <row r="32" spans="1:10" s="17" customFormat="1" ht="20.100000000000001" customHeight="1">
      <c r="A32" s="251"/>
      <c r="B32" s="143">
        <v>24</v>
      </c>
      <c r="C32" s="59" t="s">
        <v>386</v>
      </c>
      <c r="D32" s="31" t="s">
        <v>387</v>
      </c>
      <c r="E32" s="316" t="s">
        <v>1586</v>
      </c>
      <c r="F32" s="13">
        <v>18000000</v>
      </c>
      <c r="G32" s="13">
        <v>18000000</v>
      </c>
      <c r="H32" s="162">
        <f t="shared" si="0"/>
        <v>0</v>
      </c>
      <c r="I32" s="251"/>
      <c r="J32" s="251"/>
    </row>
    <row r="33" spans="1:10" s="17" customFormat="1" ht="20.100000000000001" customHeight="1">
      <c r="A33" s="251"/>
      <c r="B33" s="143">
        <v>25</v>
      </c>
      <c r="C33" s="59" t="s">
        <v>386</v>
      </c>
      <c r="D33" s="31" t="s">
        <v>387</v>
      </c>
      <c r="E33" s="316" t="s">
        <v>2000</v>
      </c>
      <c r="F33" s="13">
        <v>0</v>
      </c>
      <c r="G33" s="13">
        <v>50000000</v>
      </c>
      <c r="H33" s="162">
        <f t="shared" si="0"/>
        <v>50000000</v>
      </c>
      <c r="I33" s="251"/>
      <c r="J33" s="251"/>
    </row>
    <row r="34" spans="1:10" s="16" customFormat="1" ht="20.100000000000001" customHeight="1">
      <c r="A34" s="171"/>
      <c r="B34" s="143">
        <v>26</v>
      </c>
      <c r="C34" s="58" t="s">
        <v>116</v>
      </c>
      <c r="D34" s="31" t="s">
        <v>117</v>
      </c>
      <c r="E34" s="312" t="s">
        <v>118</v>
      </c>
      <c r="F34" s="13">
        <v>480000</v>
      </c>
      <c r="G34" s="13">
        <v>2000000</v>
      </c>
      <c r="H34" s="162">
        <f t="shared" si="0"/>
        <v>1520000</v>
      </c>
      <c r="I34" s="171"/>
      <c r="J34" s="171"/>
    </row>
    <row r="35" spans="1:10" s="16" customFormat="1" ht="20.100000000000001" customHeight="1">
      <c r="A35" s="171"/>
      <c r="B35" s="143">
        <v>27</v>
      </c>
      <c r="C35" s="58" t="s">
        <v>119</v>
      </c>
      <c r="D35" s="31" t="s">
        <v>120</v>
      </c>
      <c r="E35" s="316" t="s">
        <v>121</v>
      </c>
      <c r="F35" s="13">
        <v>440000</v>
      </c>
      <c r="G35" s="13">
        <v>2000000</v>
      </c>
      <c r="H35" s="162">
        <f t="shared" si="0"/>
        <v>1560000</v>
      </c>
      <c r="I35" s="171"/>
      <c r="J35" s="171"/>
    </row>
    <row r="36" spans="1:10" s="16" customFormat="1" ht="20.100000000000001" customHeight="1">
      <c r="A36" s="171"/>
      <c r="B36" s="143">
        <v>28</v>
      </c>
      <c r="C36" s="58" t="s">
        <v>389</v>
      </c>
      <c r="D36" s="31" t="s">
        <v>390</v>
      </c>
      <c r="E36" s="316" t="s">
        <v>391</v>
      </c>
      <c r="F36" s="13">
        <v>440000</v>
      </c>
      <c r="G36" s="13">
        <v>1000000</v>
      </c>
      <c r="H36" s="162">
        <f t="shared" si="0"/>
        <v>560000</v>
      </c>
      <c r="I36" s="171"/>
      <c r="J36" s="171"/>
    </row>
    <row r="37" spans="1:10" s="16" customFormat="1" ht="20.100000000000001" customHeight="1">
      <c r="A37" s="171"/>
      <c r="B37" s="143">
        <v>29</v>
      </c>
      <c r="C37" s="58" t="s">
        <v>392</v>
      </c>
      <c r="D37" s="31" t="s">
        <v>393</v>
      </c>
      <c r="E37" s="316" t="s">
        <v>394</v>
      </c>
      <c r="F37" s="13">
        <v>2838723.29</v>
      </c>
      <c r="G37" s="13">
        <v>3500000</v>
      </c>
      <c r="H37" s="162">
        <f t="shared" si="0"/>
        <v>661276.71</v>
      </c>
      <c r="I37" s="171"/>
      <c r="J37" s="171"/>
    </row>
    <row r="38" spans="1:10" s="16" customFormat="1" ht="20.100000000000001" customHeight="1">
      <c r="A38" s="171"/>
      <c r="B38" s="143">
        <v>30</v>
      </c>
      <c r="C38" s="58" t="s">
        <v>395</v>
      </c>
      <c r="D38" s="31" t="s">
        <v>396</v>
      </c>
      <c r="E38" s="316" t="s">
        <v>397</v>
      </c>
      <c r="F38" s="13">
        <v>1320000</v>
      </c>
      <c r="G38" s="13">
        <v>1800000</v>
      </c>
      <c r="H38" s="162">
        <f t="shared" si="0"/>
        <v>480000</v>
      </c>
      <c r="I38" s="171"/>
      <c r="J38" s="171"/>
    </row>
    <row r="39" spans="1:10" s="16" customFormat="1" ht="20.100000000000001" customHeight="1">
      <c r="A39" s="171"/>
      <c r="B39" s="143">
        <v>31</v>
      </c>
      <c r="C39" s="58" t="s">
        <v>398</v>
      </c>
      <c r="D39" s="31" t="s">
        <v>399</v>
      </c>
      <c r="E39" s="316" t="s">
        <v>400</v>
      </c>
      <c r="F39" s="13">
        <v>770000</v>
      </c>
      <c r="G39" s="13">
        <v>1530760.58</v>
      </c>
      <c r="H39" s="162">
        <f t="shared" si="0"/>
        <v>760760.58000000007</v>
      </c>
      <c r="I39" s="171"/>
      <c r="J39" s="171"/>
    </row>
    <row r="40" spans="1:10" s="16" customFormat="1" ht="20.100000000000001" customHeight="1">
      <c r="A40" s="171"/>
      <c r="B40" s="143">
        <v>32</v>
      </c>
      <c r="C40" s="58" t="s">
        <v>125</v>
      </c>
      <c r="D40" s="31" t="s">
        <v>126</v>
      </c>
      <c r="E40" s="316" t="s">
        <v>127</v>
      </c>
      <c r="F40" s="13">
        <v>1076450000</v>
      </c>
      <c r="G40" s="13">
        <v>1500000000</v>
      </c>
      <c r="H40" s="162">
        <f t="shared" si="0"/>
        <v>423550000</v>
      </c>
      <c r="I40" s="171"/>
      <c r="J40" s="171"/>
    </row>
    <row r="41" spans="1:10" s="16" customFormat="1" ht="20.100000000000001" customHeight="1">
      <c r="A41" s="171"/>
      <c r="B41" s="143">
        <v>33</v>
      </c>
      <c r="C41" s="58" t="s">
        <v>401</v>
      </c>
      <c r="D41" s="31" t="s">
        <v>402</v>
      </c>
      <c r="E41" s="316" t="s">
        <v>403</v>
      </c>
      <c r="F41" s="13">
        <v>0</v>
      </c>
      <c r="G41" s="13">
        <v>3061521.15</v>
      </c>
      <c r="H41" s="162">
        <f t="shared" si="0"/>
        <v>3061521.15</v>
      </c>
      <c r="I41" s="171"/>
      <c r="J41" s="171"/>
    </row>
    <row r="42" spans="1:10" s="16" customFormat="1" ht="20.100000000000001" customHeight="1">
      <c r="A42" s="171"/>
      <c r="B42" s="143">
        <v>34</v>
      </c>
      <c r="C42" s="59" t="s">
        <v>128</v>
      </c>
      <c r="D42" s="31" t="s">
        <v>404</v>
      </c>
      <c r="E42" s="316" t="s">
        <v>405</v>
      </c>
      <c r="F42" s="13">
        <v>2975200</v>
      </c>
      <c r="G42" s="13">
        <v>3061521.15</v>
      </c>
      <c r="H42" s="162">
        <f t="shared" si="0"/>
        <v>86321.149999999907</v>
      </c>
      <c r="I42" s="171"/>
      <c r="J42" s="171"/>
    </row>
    <row r="43" spans="1:10" s="16" customFormat="1" ht="20.100000000000001" customHeight="1">
      <c r="A43" s="171"/>
      <c r="B43" s="143">
        <v>35</v>
      </c>
      <c r="C43" s="59" t="s">
        <v>128</v>
      </c>
      <c r="D43" s="31" t="s">
        <v>129</v>
      </c>
      <c r="E43" s="316" t="s">
        <v>130</v>
      </c>
      <c r="F43" s="13">
        <v>15857000</v>
      </c>
      <c r="G43" s="13">
        <v>16328112.82</v>
      </c>
      <c r="H43" s="162">
        <f t="shared" si="0"/>
        <v>471112.8200000003</v>
      </c>
      <c r="I43" s="171"/>
      <c r="J43" s="171"/>
    </row>
    <row r="44" spans="1:10" s="16" customFormat="1" ht="20.100000000000001" customHeight="1">
      <c r="A44" s="171"/>
      <c r="B44" s="143">
        <v>36</v>
      </c>
      <c r="C44" s="58" t="s">
        <v>406</v>
      </c>
      <c r="D44" s="31" t="s">
        <v>407</v>
      </c>
      <c r="E44" s="316" t="s">
        <v>408</v>
      </c>
      <c r="F44" s="363">
        <v>1976000</v>
      </c>
      <c r="G44" s="363">
        <v>7000000</v>
      </c>
      <c r="H44" s="162">
        <f t="shared" si="0"/>
        <v>5024000</v>
      </c>
      <c r="I44" s="171"/>
      <c r="J44" s="97"/>
    </row>
    <row r="45" spans="1:10" s="16" customFormat="1" ht="20.100000000000001" customHeight="1">
      <c r="A45" s="171"/>
      <c r="B45" s="143">
        <v>37</v>
      </c>
      <c r="C45" s="143" t="s">
        <v>131</v>
      </c>
      <c r="D45" s="143" t="s">
        <v>132</v>
      </c>
      <c r="E45" s="144" t="s">
        <v>133</v>
      </c>
      <c r="F45" s="351">
        <v>3900000</v>
      </c>
      <c r="G45" s="351">
        <v>4401690.17</v>
      </c>
      <c r="H45" s="162">
        <f t="shared" si="0"/>
        <v>501690.16999999993</v>
      </c>
      <c r="I45" s="171"/>
      <c r="J45" s="97"/>
    </row>
    <row r="46" spans="1:10" s="16" customFormat="1" ht="20.100000000000001" customHeight="1">
      <c r="A46" s="171"/>
      <c r="B46" s="143">
        <v>38</v>
      </c>
      <c r="C46" s="143" t="s">
        <v>134</v>
      </c>
      <c r="D46" s="143" t="s">
        <v>135</v>
      </c>
      <c r="E46" s="364" t="s">
        <v>136</v>
      </c>
      <c r="F46" s="351">
        <v>537120000</v>
      </c>
      <c r="G46" s="351">
        <v>550000000</v>
      </c>
      <c r="H46" s="162">
        <f t="shared" si="0"/>
        <v>12880000</v>
      </c>
      <c r="I46" s="171"/>
      <c r="J46" s="97"/>
    </row>
    <row r="47" spans="1:10" s="16" customFormat="1" ht="20.100000000000001" customHeight="1">
      <c r="A47" s="171"/>
      <c r="B47" s="143">
        <v>39</v>
      </c>
      <c r="C47" s="143" t="s">
        <v>409</v>
      </c>
      <c r="D47" s="143" t="s">
        <v>410</v>
      </c>
      <c r="E47" s="144" t="s">
        <v>1940</v>
      </c>
      <c r="F47" s="351">
        <v>6500000</v>
      </c>
      <c r="G47" s="351">
        <v>17000000</v>
      </c>
      <c r="H47" s="162">
        <f t="shared" si="0"/>
        <v>10500000</v>
      </c>
      <c r="I47" s="171"/>
      <c r="J47" s="97"/>
    </row>
    <row r="48" spans="1:10" s="16" customFormat="1" ht="20.100000000000001" customHeight="1">
      <c r="A48" s="171"/>
      <c r="B48" s="143">
        <v>40</v>
      </c>
      <c r="C48" s="143">
        <v>12300100100</v>
      </c>
      <c r="D48" s="143" t="s">
        <v>413</v>
      </c>
      <c r="E48" s="144" t="s">
        <v>414</v>
      </c>
      <c r="F48" s="351">
        <v>4800000</v>
      </c>
      <c r="G48" s="351">
        <v>6803380.3399999999</v>
      </c>
      <c r="H48" s="162">
        <f t="shared" si="0"/>
        <v>2003380.3399999999</v>
      </c>
      <c r="I48" s="171"/>
      <c r="J48" s="171"/>
    </row>
    <row r="49" spans="1:10" s="16" customFormat="1" ht="20.100000000000001" customHeight="1">
      <c r="A49" s="171"/>
      <c r="B49" s="143">
        <v>41</v>
      </c>
      <c r="C49" s="143" t="s">
        <v>140</v>
      </c>
      <c r="D49" s="143" t="s">
        <v>141</v>
      </c>
      <c r="E49" s="312" t="s">
        <v>142</v>
      </c>
      <c r="F49" s="351">
        <f>2078358.48+38683681</f>
        <v>40762039.479999997</v>
      </c>
      <c r="G49" s="351">
        <v>3000000</v>
      </c>
      <c r="H49" s="162">
        <f t="shared" si="0"/>
        <v>-37762039.479999997</v>
      </c>
      <c r="I49" s="171"/>
      <c r="J49" s="171"/>
    </row>
    <row r="50" spans="1:10" s="16" customFormat="1" ht="20.100000000000001" customHeight="1">
      <c r="A50" s="171"/>
      <c r="B50" s="143">
        <v>42</v>
      </c>
      <c r="C50" s="58" t="s">
        <v>415</v>
      </c>
      <c r="D50" s="31" t="s">
        <v>416</v>
      </c>
      <c r="E50" s="316" t="s">
        <v>417</v>
      </c>
      <c r="F50" s="365">
        <v>0</v>
      </c>
      <c r="G50" s="365">
        <v>1500000</v>
      </c>
      <c r="H50" s="162">
        <f t="shared" si="0"/>
        <v>1500000</v>
      </c>
      <c r="I50" s="171"/>
      <c r="J50" s="171"/>
    </row>
    <row r="51" spans="1:10" s="16" customFormat="1" ht="20.100000000000001" customHeight="1">
      <c r="A51" s="171"/>
      <c r="B51" s="143">
        <v>43</v>
      </c>
      <c r="C51" s="58" t="s">
        <v>419</v>
      </c>
      <c r="D51" s="31" t="s">
        <v>420</v>
      </c>
      <c r="E51" s="316" t="s">
        <v>421</v>
      </c>
      <c r="F51" s="366">
        <v>2400000</v>
      </c>
      <c r="G51" s="366">
        <v>4803380.34</v>
      </c>
      <c r="H51" s="162">
        <f t="shared" si="0"/>
        <v>2403380.34</v>
      </c>
      <c r="I51" s="171"/>
      <c r="J51" s="171"/>
    </row>
    <row r="52" spans="1:10" s="16" customFormat="1" ht="20.100000000000001" customHeight="1">
      <c r="A52" s="171"/>
      <c r="B52" s="143">
        <v>44</v>
      </c>
      <c r="C52" s="58" t="s">
        <v>422</v>
      </c>
      <c r="D52" s="31" t="s">
        <v>423</v>
      </c>
      <c r="E52" s="316" t="s">
        <v>424</v>
      </c>
      <c r="F52" s="366">
        <v>11050000</v>
      </c>
      <c r="G52" s="366">
        <v>20000000</v>
      </c>
      <c r="H52" s="162">
        <f t="shared" si="0"/>
        <v>8950000</v>
      </c>
      <c r="I52" s="171"/>
      <c r="J52" s="171"/>
    </row>
    <row r="53" spans="1:10" s="16" customFormat="1" ht="20.100000000000001" customHeight="1">
      <c r="A53" s="171"/>
      <c r="B53" s="143">
        <v>45</v>
      </c>
      <c r="C53" s="58" t="s">
        <v>425</v>
      </c>
      <c r="D53" s="31" t="s">
        <v>426</v>
      </c>
      <c r="E53" s="316" t="s">
        <v>427</v>
      </c>
      <c r="F53" s="366">
        <v>1320000</v>
      </c>
      <c r="G53" s="366">
        <v>1800000</v>
      </c>
      <c r="H53" s="162">
        <f t="shared" si="0"/>
        <v>480000</v>
      </c>
      <c r="I53" s="171"/>
      <c r="J53" s="171"/>
    </row>
    <row r="54" spans="1:10" s="16" customFormat="1" ht="20.100000000000001" customHeight="1">
      <c r="A54" s="171"/>
      <c r="B54" s="143">
        <v>46</v>
      </c>
      <c r="C54" s="58" t="s">
        <v>143</v>
      </c>
      <c r="D54" s="31" t="s">
        <v>144</v>
      </c>
      <c r="E54" s="316" t="s">
        <v>145</v>
      </c>
      <c r="F54" s="366">
        <v>98766200</v>
      </c>
      <c r="G54" s="366">
        <v>150000000</v>
      </c>
      <c r="H54" s="162">
        <f t="shared" si="0"/>
        <v>51233800</v>
      </c>
      <c r="I54" s="171"/>
      <c r="J54" s="171"/>
    </row>
    <row r="55" spans="1:10" s="16" customFormat="1" ht="20.100000000000001" customHeight="1">
      <c r="A55" s="171"/>
      <c r="B55" s="143">
        <v>47</v>
      </c>
      <c r="C55" s="58" t="s">
        <v>428</v>
      </c>
      <c r="D55" s="31" t="s">
        <v>418</v>
      </c>
      <c r="E55" s="316" t="s">
        <v>429</v>
      </c>
      <c r="F55" s="366">
        <v>2100000</v>
      </c>
      <c r="G55" s="366">
        <v>3000000</v>
      </c>
      <c r="H55" s="162">
        <f t="shared" si="0"/>
        <v>900000</v>
      </c>
      <c r="I55" s="171"/>
      <c r="J55" s="171"/>
    </row>
    <row r="56" spans="1:10" s="16" customFormat="1" ht="20.100000000000001" customHeight="1">
      <c r="A56" s="171"/>
      <c r="B56" s="143">
        <v>48</v>
      </c>
      <c r="C56" s="58" t="s">
        <v>430</v>
      </c>
      <c r="D56" s="31" t="s">
        <v>431</v>
      </c>
      <c r="E56" s="316" t="s">
        <v>432</v>
      </c>
      <c r="F56" s="366">
        <v>960000</v>
      </c>
      <c r="G56" s="366">
        <v>2500000</v>
      </c>
      <c r="H56" s="162">
        <f t="shared" si="0"/>
        <v>1540000</v>
      </c>
      <c r="I56" s="171"/>
      <c r="J56" s="171"/>
    </row>
    <row r="57" spans="1:10" s="16" customFormat="1" ht="20.100000000000001" customHeight="1">
      <c r="A57" s="171"/>
      <c r="B57" s="143">
        <v>49</v>
      </c>
      <c r="C57" s="58" t="s">
        <v>433</v>
      </c>
      <c r="D57" s="31" t="s">
        <v>434</v>
      </c>
      <c r="E57" s="316" t="s">
        <v>435</v>
      </c>
      <c r="F57" s="366">
        <v>1100000</v>
      </c>
      <c r="G57" s="366">
        <v>2500000</v>
      </c>
      <c r="H57" s="162">
        <f t="shared" si="0"/>
        <v>1400000</v>
      </c>
      <c r="I57" s="171"/>
      <c r="J57" s="171"/>
    </row>
    <row r="58" spans="1:10" s="16" customFormat="1" ht="20.100000000000001" customHeight="1">
      <c r="A58" s="171"/>
      <c r="B58" s="143">
        <v>50</v>
      </c>
      <c r="C58" s="58" t="s">
        <v>436</v>
      </c>
      <c r="D58" s="31" t="s">
        <v>437</v>
      </c>
      <c r="E58" s="316" t="s">
        <v>438</v>
      </c>
      <c r="F58" s="366">
        <v>1100000</v>
      </c>
      <c r="G58" s="366">
        <v>3500000</v>
      </c>
      <c r="H58" s="162">
        <f t="shared" si="0"/>
        <v>2400000</v>
      </c>
      <c r="I58" s="171"/>
      <c r="J58" s="171"/>
    </row>
    <row r="59" spans="1:10" s="16" customFormat="1" ht="20.100000000000001" customHeight="1">
      <c r="A59" s="171"/>
      <c r="B59" s="143">
        <v>51</v>
      </c>
      <c r="C59" s="58" t="s">
        <v>439</v>
      </c>
      <c r="D59" s="31" t="s">
        <v>440</v>
      </c>
      <c r="E59" s="316" t="s">
        <v>441</v>
      </c>
      <c r="F59" s="366">
        <v>1100000</v>
      </c>
      <c r="G59" s="366">
        <v>6000000</v>
      </c>
      <c r="H59" s="162">
        <f t="shared" si="0"/>
        <v>4900000</v>
      </c>
      <c r="I59" s="171"/>
      <c r="J59" s="171"/>
    </row>
    <row r="60" spans="1:10" s="16" customFormat="1" ht="20.100000000000001" customHeight="1">
      <c r="A60" s="171"/>
      <c r="B60" s="143">
        <v>52</v>
      </c>
      <c r="C60" s="58" t="s">
        <v>442</v>
      </c>
      <c r="D60" s="31" t="s">
        <v>443</v>
      </c>
      <c r="E60" s="316" t="s">
        <v>444</v>
      </c>
      <c r="F60" s="366">
        <v>562673.34</v>
      </c>
      <c r="G60" s="366">
        <v>1700000</v>
      </c>
      <c r="H60" s="162">
        <f t="shared" si="0"/>
        <v>1137326.6600000001</v>
      </c>
      <c r="I60" s="171"/>
      <c r="J60" s="171"/>
    </row>
    <row r="61" spans="1:10" s="16" customFormat="1" ht="20.100000000000001" customHeight="1">
      <c r="A61" s="171"/>
      <c r="B61" s="143">
        <v>53</v>
      </c>
      <c r="C61" s="175" t="s">
        <v>1970</v>
      </c>
      <c r="D61" s="31" t="s">
        <v>1504</v>
      </c>
      <c r="E61" s="316" t="s">
        <v>1505</v>
      </c>
      <c r="F61" s="366">
        <v>3000000</v>
      </c>
      <c r="G61" s="366">
        <v>5000000</v>
      </c>
      <c r="H61" s="162">
        <f t="shared" si="0"/>
        <v>2000000</v>
      </c>
      <c r="I61" s="171"/>
      <c r="J61" s="171"/>
    </row>
    <row r="62" spans="1:10" s="16" customFormat="1" ht="20.100000000000001" customHeight="1">
      <c r="A62" s="171"/>
      <c r="B62" s="143">
        <v>54</v>
      </c>
      <c r="C62" s="58" t="s">
        <v>445</v>
      </c>
      <c r="D62" s="31" t="s">
        <v>446</v>
      </c>
      <c r="E62" s="316" t="s">
        <v>447</v>
      </c>
      <c r="F62" s="366">
        <v>2470000</v>
      </c>
      <c r="G62" s="366">
        <v>3061521.15</v>
      </c>
      <c r="H62" s="162">
        <f t="shared" si="0"/>
        <v>591521.14999999991</v>
      </c>
      <c r="I62" s="171"/>
      <c r="J62" s="171"/>
    </row>
    <row r="63" spans="1:10" s="16" customFormat="1" ht="20.100000000000001" customHeight="1">
      <c r="A63" s="171"/>
      <c r="B63" s="143">
        <v>55</v>
      </c>
      <c r="C63" s="58" t="s">
        <v>146</v>
      </c>
      <c r="D63" s="31" t="s">
        <v>147</v>
      </c>
      <c r="E63" s="316" t="s">
        <v>148</v>
      </c>
      <c r="F63" s="366">
        <v>12125000</v>
      </c>
      <c r="G63" s="366">
        <v>13606760.68</v>
      </c>
      <c r="H63" s="162">
        <f t="shared" si="0"/>
        <v>1481760.6799999997</v>
      </c>
      <c r="I63" s="171"/>
      <c r="J63" s="171"/>
    </row>
    <row r="64" spans="1:10" s="16" customFormat="1" ht="20.100000000000001" customHeight="1">
      <c r="A64" s="171"/>
      <c r="B64" s="143">
        <v>56</v>
      </c>
      <c r="C64" s="175" t="s">
        <v>448</v>
      </c>
      <c r="D64" s="31" t="s">
        <v>1502</v>
      </c>
      <c r="E64" s="316" t="s">
        <v>1503</v>
      </c>
      <c r="F64" s="366">
        <v>3600000</v>
      </c>
      <c r="G64" s="366">
        <v>6000000</v>
      </c>
      <c r="H64" s="162">
        <f t="shared" si="0"/>
        <v>2400000</v>
      </c>
      <c r="I64" s="171"/>
      <c r="J64" s="171"/>
    </row>
    <row r="65" spans="1:10" s="16" customFormat="1" ht="20.100000000000001" customHeight="1">
      <c r="A65" s="171"/>
      <c r="B65" s="143">
        <v>57</v>
      </c>
      <c r="C65" s="58" t="s">
        <v>448</v>
      </c>
      <c r="D65" s="31" t="s">
        <v>149</v>
      </c>
      <c r="E65" s="316" t="s">
        <v>449</v>
      </c>
      <c r="F65" s="366">
        <v>7500000</v>
      </c>
      <c r="G65" s="366">
        <v>8338967.2300000004</v>
      </c>
      <c r="H65" s="162">
        <f t="shared" si="0"/>
        <v>838967.23000000045</v>
      </c>
      <c r="I65" s="171"/>
      <c r="J65" s="171"/>
    </row>
    <row r="66" spans="1:10" s="16" customFormat="1" ht="20.100000000000001" customHeight="1">
      <c r="A66" s="171"/>
      <c r="B66" s="143">
        <v>58</v>
      </c>
      <c r="C66" s="58" t="s">
        <v>151</v>
      </c>
      <c r="D66" s="31" t="s">
        <v>152</v>
      </c>
      <c r="E66" s="316" t="s">
        <v>153</v>
      </c>
      <c r="F66" s="366">
        <v>17600000</v>
      </c>
      <c r="G66" s="366">
        <v>22088450.850000001</v>
      </c>
      <c r="H66" s="162">
        <f t="shared" si="0"/>
        <v>4488450.8500000015</v>
      </c>
      <c r="I66" s="171"/>
      <c r="J66" s="171"/>
    </row>
    <row r="67" spans="1:10" s="16" customFormat="1" ht="20.100000000000001" customHeight="1">
      <c r="A67" s="171"/>
      <c r="B67" s="143">
        <v>59</v>
      </c>
      <c r="C67" s="58" t="s">
        <v>450</v>
      </c>
      <c r="D67" s="31" t="s">
        <v>451</v>
      </c>
      <c r="E67" s="316" t="s">
        <v>452</v>
      </c>
      <c r="F67" s="366">
        <v>1680000</v>
      </c>
      <c r="G67" s="366">
        <v>2551267.63</v>
      </c>
      <c r="H67" s="162">
        <f t="shared" si="0"/>
        <v>871267.62999999989</v>
      </c>
      <c r="I67" s="171"/>
      <c r="J67" s="171"/>
    </row>
    <row r="68" spans="1:10" s="16" customFormat="1" ht="20.100000000000001" customHeight="1">
      <c r="A68" s="171"/>
      <c r="B68" s="143">
        <v>60</v>
      </c>
      <c r="C68" s="58" t="s">
        <v>154</v>
      </c>
      <c r="D68" s="31" t="s">
        <v>155</v>
      </c>
      <c r="E68" s="316" t="s">
        <v>156</v>
      </c>
      <c r="F68" s="366">
        <v>0</v>
      </c>
      <c r="G68" s="366">
        <v>0</v>
      </c>
      <c r="H68" s="162">
        <f t="shared" si="0"/>
        <v>0</v>
      </c>
      <c r="I68" s="171"/>
      <c r="J68" s="171"/>
    </row>
    <row r="69" spans="1:10" s="16" customFormat="1" ht="20.100000000000001" customHeight="1">
      <c r="A69" s="171"/>
      <c r="B69" s="143">
        <v>61</v>
      </c>
      <c r="C69" s="176" t="s">
        <v>1971</v>
      </c>
      <c r="D69" s="31" t="s">
        <v>455</v>
      </c>
      <c r="E69" s="316" t="s">
        <v>456</v>
      </c>
      <c r="F69" s="367">
        <v>1300000</v>
      </c>
      <c r="G69" s="367">
        <v>2000000</v>
      </c>
      <c r="H69" s="162">
        <f t="shared" si="0"/>
        <v>700000</v>
      </c>
      <c r="I69" s="171"/>
      <c r="J69" s="171"/>
    </row>
    <row r="70" spans="1:10" s="16" customFormat="1" ht="20.100000000000001" customHeight="1">
      <c r="A70" s="171"/>
      <c r="B70" s="143">
        <v>62</v>
      </c>
      <c r="C70" s="176" t="s">
        <v>1972</v>
      </c>
      <c r="D70" s="31" t="s">
        <v>457</v>
      </c>
      <c r="E70" s="316" t="s">
        <v>458</v>
      </c>
      <c r="F70" s="367">
        <v>3110000</v>
      </c>
      <c r="G70" s="367">
        <v>8000000</v>
      </c>
      <c r="H70" s="162">
        <f t="shared" si="0"/>
        <v>4890000</v>
      </c>
      <c r="I70" s="171"/>
      <c r="J70" s="171"/>
    </row>
    <row r="71" spans="1:10" s="16" customFormat="1" ht="20.100000000000001" customHeight="1">
      <c r="A71" s="171"/>
      <c r="B71" s="143">
        <v>63</v>
      </c>
      <c r="C71" s="279" t="s">
        <v>1973</v>
      </c>
      <c r="D71" s="368" t="s">
        <v>199</v>
      </c>
      <c r="E71" s="144" t="s">
        <v>461</v>
      </c>
      <c r="F71" s="370">
        <v>550000</v>
      </c>
      <c r="G71" s="370">
        <v>2000000</v>
      </c>
      <c r="H71" s="162">
        <f t="shared" si="0"/>
        <v>1450000</v>
      </c>
      <c r="I71" s="171"/>
      <c r="J71" s="171"/>
    </row>
    <row r="72" spans="1:10" s="16" customFormat="1" ht="20.100000000000001" customHeight="1">
      <c r="A72" s="171"/>
      <c r="B72" s="143">
        <v>64</v>
      </c>
      <c r="C72" s="279" t="s">
        <v>1974</v>
      </c>
      <c r="D72" s="368" t="s">
        <v>469</v>
      </c>
      <c r="E72" s="312" t="s">
        <v>470</v>
      </c>
      <c r="F72" s="370">
        <v>3300000</v>
      </c>
      <c r="G72" s="370">
        <v>5500000</v>
      </c>
      <c r="H72" s="162">
        <f t="shared" si="0"/>
        <v>2200000</v>
      </c>
      <c r="I72" s="171"/>
      <c r="J72" s="171"/>
    </row>
    <row r="73" spans="1:10" s="16" customFormat="1" ht="20.100000000000001" customHeight="1">
      <c r="A73" s="171"/>
      <c r="B73" s="143">
        <v>65</v>
      </c>
      <c r="C73" s="368" t="s">
        <v>157</v>
      </c>
      <c r="D73" s="368" t="s">
        <v>158</v>
      </c>
      <c r="E73" s="312" t="s">
        <v>159</v>
      </c>
      <c r="F73" s="370">
        <v>12000000</v>
      </c>
      <c r="G73" s="370">
        <v>14000000</v>
      </c>
      <c r="H73" s="162">
        <f t="shared" si="0"/>
        <v>2000000</v>
      </c>
      <c r="I73" s="171"/>
      <c r="J73" s="171"/>
    </row>
    <row r="74" spans="1:10" s="16" customFormat="1" ht="20.100000000000001" customHeight="1">
      <c r="A74" s="171"/>
      <c r="B74" s="143"/>
      <c r="C74" s="143"/>
      <c r="D74" s="143"/>
      <c r="E74" s="311" t="s">
        <v>160</v>
      </c>
      <c r="F74" s="266">
        <f>SUM(F9:F73)</f>
        <v>2132381099.3999999</v>
      </c>
      <c r="G74" s="266">
        <f>SUM(G9:G73)</f>
        <v>2765574135.7500005</v>
      </c>
      <c r="H74" s="266">
        <f>SUM(H9:H73)</f>
        <v>633193036.35000002</v>
      </c>
      <c r="I74" s="171"/>
      <c r="J74" s="171"/>
    </row>
    <row r="75" spans="1:10" s="16" customFormat="1" ht="20.100000000000001" customHeight="1">
      <c r="A75" s="171"/>
      <c r="B75" s="143"/>
      <c r="C75" s="143"/>
      <c r="D75" s="143"/>
      <c r="E75" s="371" t="s">
        <v>161</v>
      </c>
      <c r="F75" s="264"/>
      <c r="G75" s="264"/>
      <c r="H75" s="143"/>
      <c r="I75" s="171"/>
      <c r="J75" s="171"/>
    </row>
    <row r="76" spans="1:10" s="16" customFormat="1" ht="20.100000000000001" customHeight="1">
      <c r="A76" s="171"/>
      <c r="B76" s="143">
        <v>66</v>
      </c>
      <c r="C76" s="143" t="s">
        <v>162</v>
      </c>
      <c r="D76" s="143" t="s">
        <v>163</v>
      </c>
      <c r="E76" s="144" t="s">
        <v>164</v>
      </c>
      <c r="F76" s="264">
        <v>4402500</v>
      </c>
      <c r="G76" s="264">
        <v>8000000</v>
      </c>
      <c r="H76" s="275">
        <f>G76-F76</f>
        <v>3597500</v>
      </c>
      <c r="I76" s="171"/>
      <c r="J76" s="171"/>
    </row>
    <row r="77" spans="1:10" s="16" customFormat="1" ht="20.100000000000001" customHeight="1">
      <c r="A77" s="171"/>
      <c r="B77" s="143">
        <v>67</v>
      </c>
      <c r="C77" s="143" t="s">
        <v>471</v>
      </c>
      <c r="D77" s="143" t="s">
        <v>472</v>
      </c>
      <c r="E77" s="144" t="s">
        <v>473</v>
      </c>
      <c r="F77" s="264">
        <v>2200000</v>
      </c>
      <c r="G77" s="264">
        <v>3968638.53</v>
      </c>
      <c r="H77" s="275">
        <f t="shared" ref="H77:H140" si="1">G77-F77</f>
        <v>1768638.5299999998</v>
      </c>
      <c r="I77" s="171"/>
      <c r="J77" s="171"/>
    </row>
    <row r="78" spans="1:10" s="16" customFormat="1" ht="20.100000000000001" customHeight="1">
      <c r="A78" s="171"/>
      <c r="B78" s="143">
        <v>68</v>
      </c>
      <c r="C78" s="143" t="s">
        <v>474</v>
      </c>
      <c r="D78" s="143" t="s">
        <v>475</v>
      </c>
      <c r="E78" s="144" t="s">
        <v>476</v>
      </c>
      <c r="F78" s="264">
        <v>660000</v>
      </c>
      <c r="G78" s="264">
        <v>2834741.81</v>
      </c>
      <c r="H78" s="275">
        <f t="shared" si="1"/>
        <v>2174741.81</v>
      </c>
      <c r="I78" s="171"/>
      <c r="J78" s="171"/>
    </row>
    <row r="79" spans="1:10" s="16" customFormat="1" ht="20.100000000000001" customHeight="1">
      <c r="A79" s="171"/>
      <c r="B79" s="143">
        <v>69</v>
      </c>
      <c r="C79" s="143" t="s">
        <v>165</v>
      </c>
      <c r="D79" s="143" t="s">
        <v>166</v>
      </c>
      <c r="E79" s="144" t="s">
        <v>167</v>
      </c>
      <c r="F79" s="264">
        <v>660000</v>
      </c>
      <c r="G79" s="264">
        <v>1524608.46</v>
      </c>
      <c r="H79" s="275">
        <f t="shared" si="1"/>
        <v>864608.46</v>
      </c>
      <c r="I79" s="171"/>
      <c r="J79" s="171"/>
    </row>
    <row r="80" spans="1:10" s="16" customFormat="1" ht="20.100000000000001" customHeight="1">
      <c r="A80" s="171"/>
      <c r="B80" s="143">
        <v>70</v>
      </c>
      <c r="C80" s="143" t="s">
        <v>168</v>
      </c>
      <c r="D80" s="143" t="s">
        <v>169</v>
      </c>
      <c r="E80" s="144" t="s">
        <v>170</v>
      </c>
      <c r="F80" s="264">
        <v>6135000</v>
      </c>
      <c r="G80" s="264">
        <v>7000000</v>
      </c>
      <c r="H80" s="275">
        <f t="shared" si="1"/>
        <v>865000</v>
      </c>
      <c r="I80" s="171"/>
      <c r="J80" s="171"/>
    </row>
    <row r="81" spans="1:10" s="16" customFormat="1" ht="20.100000000000001" customHeight="1">
      <c r="A81" s="171"/>
      <c r="B81" s="143">
        <v>71</v>
      </c>
      <c r="C81" s="143" t="s">
        <v>477</v>
      </c>
      <c r="D81" s="143" t="s">
        <v>478</v>
      </c>
      <c r="E81" s="144" t="s">
        <v>479</v>
      </c>
      <c r="F81" s="264">
        <v>450000</v>
      </c>
      <c r="G81" s="264">
        <v>2000000</v>
      </c>
      <c r="H81" s="275">
        <f t="shared" si="1"/>
        <v>1550000</v>
      </c>
      <c r="I81" s="171"/>
      <c r="J81" s="171"/>
    </row>
    <row r="82" spans="1:10" s="16" customFormat="1" ht="20.100000000000001" customHeight="1">
      <c r="A82" s="171"/>
      <c r="B82" s="143">
        <v>72</v>
      </c>
      <c r="C82" s="143" t="s">
        <v>480</v>
      </c>
      <c r="D82" s="143" t="s">
        <v>481</v>
      </c>
      <c r="E82" s="144" t="s">
        <v>482</v>
      </c>
      <c r="F82" s="264">
        <v>600000</v>
      </c>
      <c r="G82" s="264">
        <v>5653802.8799999999</v>
      </c>
      <c r="H82" s="275">
        <f t="shared" si="1"/>
        <v>5053802.88</v>
      </c>
      <c r="I82" s="171"/>
      <c r="J82" s="171"/>
    </row>
    <row r="83" spans="1:10" s="16" customFormat="1" ht="20.100000000000001" customHeight="1">
      <c r="A83" s="171"/>
      <c r="B83" s="143">
        <v>73</v>
      </c>
      <c r="C83" s="143" t="s">
        <v>483</v>
      </c>
      <c r="D83" s="143" t="s">
        <v>484</v>
      </c>
      <c r="E83" s="144" t="s">
        <v>485</v>
      </c>
      <c r="F83" s="264">
        <v>352000</v>
      </c>
      <c r="G83" s="264">
        <v>2000000</v>
      </c>
      <c r="H83" s="275">
        <f t="shared" si="1"/>
        <v>1648000</v>
      </c>
      <c r="I83" s="171"/>
      <c r="J83" s="171"/>
    </row>
    <row r="84" spans="1:10" s="16" customFormat="1" ht="20.100000000000001" customHeight="1">
      <c r="A84" s="171"/>
      <c r="B84" s="143">
        <v>74</v>
      </c>
      <c r="C84" s="143" t="s">
        <v>171</v>
      </c>
      <c r="D84" s="143" t="s">
        <v>172</v>
      </c>
      <c r="E84" s="144" t="s">
        <v>173</v>
      </c>
      <c r="F84" s="264">
        <v>1440000</v>
      </c>
      <c r="G84" s="264">
        <v>4800000</v>
      </c>
      <c r="H84" s="275">
        <f t="shared" si="1"/>
        <v>3360000</v>
      </c>
      <c r="I84" s="171"/>
      <c r="J84" s="171"/>
    </row>
    <row r="85" spans="1:10" s="16" customFormat="1" ht="20.100000000000001" customHeight="1">
      <c r="A85" s="171"/>
      <c r="B85" s="143">
        <v>75</v>
      </c>
      <c r="C85" s="143" t="s">
        <v>174</v>
      </c>
      <c r="D85" s="143" t="s">
        <v>175</v>
      </c>
      <c r="E85" s="144" t="s">
        <v>176</v>
      </c>
      <c r="F85" s="264">
        <v>58933500</v>
      </c>
      <c r="G85" s="264">
        <v>60000000</v>
      </c>
      <c r="H85" s="275">
        <f t="shared" si="1"/>
        <v>1066500</v>
      </c>
      <c r="I85" s="171"/>
      <c r="J85" s="171"/>
    </row>
    <row r="86" spans="1:10" s="16" customFormat="1" ht="20.100000000000001" customHeight="1">
      <c r="A86" s="171"/>
      <c r="B86" s="143">
        <v>76</v>
      </c>
      <c r="C86" s="143" t="s">
        <v>486</v>
      </c>
      <c r="D86" s="143" t="s">
        <v>487</v>
      </c>
      <c r="E86" s="144" t="s">
        <v>488</v>
      </c>
      <c r="F86" s="264">
        <v>2990000</v>
      </c>
      <c r="G86" s="264">
        <v>3401690.17</v>
      </c>
      <c r="H86" s="275">
        <f t="shared" si="1"/>
        <v>411690.16999999993</v>
      </c>
      <c r="I86" s="171"/>
      <c r="J86" s="171"/>
    </row>
    <row r="87" spans="1:10" s="16" customFormat="1" ht="20.100000000000001" customHeight="1">
      <c r="A87" s="171"/>
      <c r="B87" s="143">
        <v>77</v>
      </c>
      <c r="C87" s="143" t="s">
        <v>489</v>
      </c>
      <c r="D87" s="143" t="s">
        <v>490</v>
      </c>
      <c r="E87" s="144" t="s">
        <v>491</v>
      </c>
      <c r="F87" s="264">
        <v>3240000</v>
      </c>
      <c r="G87" s="264">
        <v>6500000</v>
      </c>
      <c r="H87" s="275">
        <f t="shared" si="1"/>
        <v>3260000</v>
      </c>
      <c r="I87" s="171"/>
      <c r="J87" s="171"/>
    </row>
    <row r="88" spans="1:10" s="16" customFormat="1" ht="20.100000000000001" customHeight="1">
      <c r="A88" s="171"/>
      <c r="B88" s="143">
        <v>78</v>
      </c>
      <c r="C88" s="143" t="s">
        <v>492</v>
      </c>
      <c r="D88" s="143" t="s">
        <v>493</v>
      </c>
      <c r="E88" s="144" t="s">
        <v>494</v>
      </c>
      <c r="F88" s="264">
        <v>4550000</v>
      </c>
      <c r="G88" s="264">
        <v>5669483.6200000001</v>
      </c>
      <c r="H88" s="275">
        <f t="shared" si="1"/>
        <v>1119483.6200000001</v>
      </c>
      <c r="I88" s="171"/>
      <c r="J88" s="171"/>
    </row>
    <row r="89" spans="1:10" s="16" customFormat="1" ht="20.100000000000001" customHeight="1">
      <c r="A89" s="171"/>
      <c r="B89" s="143">
        <v>79</v>
      </c>
      <c r="C89" s="143" t="s">
        <v>495</v>
      </c>
      <c r="D89" s="143" t="s">
        <v>496</v>
      </c>
      <c r="E89" s="144" t="s">
        <v>497</v>
      </c>
      <c r="F89" s="264">
        <v>3250000</v>
      </c>
      <c r="G89" s="264">
        <v>5669483.6200000001</v>
      </c>
      <c r="H89" s="275">
        <f t="shared" si="1"/>
        <v>2419483.62</v>
      </c>
      <c r="I89" s="171"/>
      <c r="J89" s="171"/>
    </row>
    <row r="90" spans="1:10" s="16" customFormat="1" ht="20.100000000000001" customHeight="1">
      <c r="A90" s="171"/>
      <c r="B90" s="143">
        <v>80</v>
      </c>
      <c r="C90" s="274" t="s">
        <v>1975</v>
      </c>
      <c r="D90" s="143" t="s">
        <v>466</v>
      </c>
      <c r="E90" s="144" t="s">
        <v>467</v>
      </c>
      <c r="F90" s="264">
        <v>3250000</v>
      </c>
      <c r="G90" s="264">
        <v>5000000</v>
      </c>
      <c r="H90" s="275">
        <f t="shared" si="1"/>
        <v>1750000</v>
      </c>
      <c r="I90" s="171"/>
      <c r="J90" s="171"/>
    </row>
    <row r="91" spans="1:10" s="16" customFormat="1" ht="20.100000000000001" customHeight="1">
      <c r="A91" s="171"/>
      <c r="B91" s="143">
        <v>81</v>
      </c>
      <c r="C91" s="143" t="s">
        <v>498</v>
      </c>
      <c r="D91" s="143" t="s">
        <v>499</v>
      </c>
      <c r="E91" s="144" t="s">
        <v>500</v>
      </c>
      <c r="F91" s="264">
        <v>8620000</v>
      </c>
      <c r="G91" s="264">
        <v>10000000</v>
      </c>
      <c r="H91" s="275">
        <f t="shared" si="1"/>
        <v>1380000</v>
      </c>
      <c r="I91" s="171"/>
      <c r="J91" s="171"/>
    </row>
    <row r="92" spans="1:10" s="16" customFormat="1" ht="20.100000000000001" customHeight="1">
      <c r="A92" s="171"/>
      <c r="B92" s="143">
        <v>82</v>
      </c>
      <c r="C92" s="143" t="s">
        <v>501</v>
      </c>
      <c r="D92" s="143" t="s">
        <v>502</v>
      </c>
      <c r="E92" s="144" t="s">
        <v>503</v>
      </c>
      <c r="F92" s="264">
        <v>45573000</v>
      </c>
      <c r="G92" s="264">
        <v>48016901.700000003</v>
      </c>
      <c r="H92" s="275">
        <f t="shared" si="1"/>
        <v>2443901.700000003</v>
      </c>
      <c r="I92" s="171"/>
      <c r="J92" s="171"/>
    </row>
    <row r="93" spans="1:10" s="16" customFormat="1" ht="20.100000000000001" customHeight="1">
      <c r="A93" s="171"/>
      <c r="B93" s="143">
        <v>83</v>
      </c>
      <c r="C93" s="143" t="s">
        <v>504</v>
      </c>
      <c r="D93" s="143" t="s">
        <v>505</v>
      </c>
      <c r="E93" s="144" t="s">
        <v>1501</v>
      </c>
      <c r="F93" s="264">
        <v>3450000</v>
      </c>
      <c r="G93" s="264">
        <v>5000000</v>
      </c>
      <c r="H93" s="275">
        <f t="shared" si="1"/>
        <v>1550000</v>
      </c>
      <c r="I93" s="171"/>
      <c r="J93" s="171"/>
    </row>
    <row r="94" spans="1:10" s="16" customFormat="1" ht="20.100000000000001" customHeight="1">
      <c r="A94" s="171"/>
      <c r="B94" s="143">
        <v>84</v>
      </c>
      <c r="C94" s="274" t="s">
        <v>1976</v>
      </c>
      <c r="D94" s="143" t="s">
        <v>1499</v>
      </c>
      <c r="E94" s="144" t="s">
        <v>1500</v>
      </c>
      <c r="F94" s="264">
        <v>2900000</v>
      </c>
      <c r="G94" s="264">
        <v>3000000</v>
      </c>
      <c r="H94" s="275">
        <f t="shared" si="1"/>
        <v>100000</v>
      </c>
      <c r="I94" s="171"/>
      <c r="J94" s="171"/>
    </row>
    <row r="95" spans="1:10" s="16" customFormat="1" ht="20.100000000000001" customHeight="1">
      <c r="A95" s="171"/>
      <c r="B95" s="143">
        <v>85</v>
      </c>
      <c r="C95" s="143" t="s">
        <v>507</v>
      </c>
      <c r="D95" s="143" t="s">
        <v>508</v>
      </c>
      <c r="E95" s="144" t="s">
        <v>509</v>
      </c>
      <c r="F95" s="264">
        <v>2165000</v>
      </c>
      <c r="G95" s="264">
        <v>5000000</v>
      </c>
      <c r="H95" s="275">
        <f t="shared" si="1"/>
        <v>2835000</v>
      </c>
      <c r="I95" s="171"/>
      <c r="J95" s="171"/>
    </row>
    <row r="96" spans="1:10" s="16" customFormat="1" ht="20.100000000000001" customHeight="1">
      <c r="A96" s="171"/>
      <c r="B96" s="143">
        <v>86</v>
      </c>
      <c r="C96" s="143" t="s">
        <v>510</v>
      </c>
      <c r="D96" s="143" t="s">
        <v>511</v>
      </c>
      <c r="E96" s="144" t="s">
        <v>512</v>
      </c>
      <c r="F96" s="264">
        <v>780000</v>
      </c>
      <c r="G96" s="264">
        <v>2834741.81</v>
      </c>
      <c r="H96" s="275">
        <f t="shared" si="1"/>
        <v>2054741.81</v>
      </c>
      <c r="I96" s="171"/>
      <c r="J96" s="171"/>
    </row>
    <row r="97" spans="1:10" s="16" customFormat="1" ht="20.100000000000001" customHeight="1">
      <c r="A97" s="171"/>
      <c r="B97" s="143">
        <v>87</v>
      </c>
      <c r="C97" s="143" t="s">
        <v>513</v>
      </c>
      <c r="D97" s="143" t="s">
        <v>514</v>
      </c>
      <c r="E97" s="144" t="s">
        <v>515</v>
      </c>
      <c r="F97" s="264">
        <v>1560000</v>
      </c>
      <c r="G97" s="264">
        <v>5000000</v>
      </c>
      <c r="H97" s="275">
        <f t="shared" si="1"/>
        <v>3440000</v>
      </c>
      <c r="I97" s="171"/>
      <c r="J97" s="171"/>
    </row>
    <row r="98" spans="1:10" s="16" customFormat="1" ht="20.100000000000001" customHeight="1">
      <c r="A98" s="171"/>
      <c r="B98" s="143">
        <v>88</v>
      </c>
      <c r="C98" s="143" t="s">
        <v>516</v>
      </c>
      <c r="D98" s="143" t="s">
        <v>517</v>
      </c>
      <c r="E98" s="144" t="s">
        <v>1486</v>
      </c>
      <c r="F98" s="264">
        <v>2650000</v>
      </c>
      <c r="G98" s="264">
        <v>5000000</v>
      </c>
      <c r="H98" s="275">
        <f t="shared" si="1"/>
        <v>2350000</v>
      </c>
      <c r="I98" s="171"/>
      <c r="J98" s="171"/>
    </row>
    <row r="99" spans="1:10" s="16" customFormat="1" ht="20.100000000000001" customHeight="1">
      <c r="A99" s="171"/>
      <c r="B99" s="143">
        <v>89</v>
      </c>
      <c r="C99" s="274" t="s">
        <v>1977</v>
      </c>
      <c r="D99" s="143" t="s">
        <v>1517</v>
      </c>
      <c r="E99" s="144" t="s">
        <v>468</v>
      </c>
      <c r="F99" s="264">
        <v>2400000</v>
      </c>
      <c r="G99" s="264">
        <v>5000000</v>
      </c>
      <c r="H99" s="275">
        <f t="shared" si="1"/>
        <v>2600000</v>
      </c>
      <c r="I99" s="171"/>
      <c r="J99" s="171"/>
    </row>
    <row r="100" spans="1:10" s="16" customFormat="1" ht="20.100000000000001" customHeight="1">
      <c r="A100" s="171"/>
      <c r="B100" s="143">
        <v>90</v>
      </c>
      <c r="C100" s="143" t="s">
        <v>177</v>
      </c>
      <c r="D100" s="143" t="s">
        <v>178</v>
      </c>
      <c r="E100" s="144" t="s">
        <v>179</v>
      </c>
      <c r="F100" s="264">
        <v>77511579.63000001</v>
      </c>
      <c r="G100" s="264">
        <v>150000000</v>
      </c>
      <c r="H100" s="275">
        <f t="shared" si="1"/>
        <v>72488420.36999999</v>
      </c>
      <c r="I100" s="171"/>
      <c r="J100" s="171"/>
    </row>
    <row r="101" spans="1:10" s="16" customFormat="1" ht="20.100000000000001" customHeight="1">
      <c r="A101" s="171"/>
      <c r="B101" s="143">
        <v>91</v>
      </c>
      <c r="C101" s="143" t="s">
        <v>180</v>
      </c>
      <c r="D101" s="143" t="s">
        <v>181</v>
      </c>
      <c r="E101" s="144" t="s">
        <v>182</v>
      </c>
      <c r="F101" s="264">
        <v>3360000</v>
      </c>
      <c r="G101" s="264">
        <v>6123042.3099999996</v>
      </c>
      <c r="H101" s="275">
        <f t="shared" si="1"/>
        <v>2763042.3099999996</v>
      </c>
      <c r="I101" s="171"/>
      <c r="J101" s="171"/>
    </row>
    <row r="102" spans="1:10" s="16" customFormat="1" ht="20.100000000000001" customHeight="1">
      <c r="A102" s="171"/>
      <c r="B102" s="143">
        <v>92</v>
      </c>
      <c r="C102" s="143" t="s">
        <v>186</v>
      </c>
      <c r="D102" s="143" t="s">
        <v>187</v>
      </c>
      <c r="E102" s="144" t="s">
        <v>188</v>
      </c>
      <c r="F102" s="264">
        <v>4900000</v>
      </c>
      <c r="G102" s="264">
        <v>7071173.79</v>
      </c>
      <c r="H102" s="275">
        <f t="shared" si="1"/>
        <v>2171173.79</v>
      </c>
      <c r="I102" s="171"/>
      <c r="J102" s="171"/>
    </row>
    <row r="103" spans="1:10" s="16" customFormat="1" ht="20.100000000000001" customHeight="1">
      <c r="A103" s="171"/>
      <c r="B103" s="143">
        <v>93</v>
      </c>
      <c r="C103" s="143" t="s">
        <v>520</v>
      </c>
      <c r="D103" s="143" t="s">
        <v>521</v>
      </c>
      <c r="E103" s="144" t="s">
        <v>522</v>
      </c>
      <c r="F103" s="264">
        <v>480000</v>
      </c>
      <c r="G103" s="264">
        <v>4500000</v>
      </c>
      <c r="H103" s="275">
        <f t="shared" si="1"/>
        <v>4020000</v>
      </c>
      <c r="I103" s="171"/>
      <c r="J103" s="171"/>
    </row>
    <row r="104" spans="1:10" s="16" customFormat="1" ht="20.100000000000001" customHeight="1">
      <c r="A104" s="171"/>
      <c r="B104" s="143">
        <v>94</v>
      </c>
      <c r="C104" s="143" t="s">
        <v>523</v>
      </c>
      <c r="D104" s="143" t="s">
        <v>524</v>
      </c>
      <c r="E104" s="144" t="s">
        <v>525</v>
      </c>
      <c r="F104" s="264">
        <v>2210000</v>
      </c>
      <c r="G104" s="264">
        <v>3571774.68</v>
      </c>
      <c r="H104" s="275">
        <f t="shared" si="1"/>
        <v>1361774.6800000002</v>
      </c>
      <c r="I104" s="171"/>
      <c r="J104" s="171"/>
    </row>
    <row r="105" spans="1:10" s="16" customFormat="1" ht="20.100000000000001" customHeight="1">
      <c r="A105" s="171"/>
      <c r="B105" s="143">
        <v>95</v>
      </c>
      <c r="C105" s="143" t="s">
        <v>526</v>
      </c>
      <c r="D105" s="143" t="s">
        <v>527</v>
      </c>
      <c r="E105" s="144" t="s">
        <v>528</v>
      </c>
      <c r="F105" s="264">
        <v>1680000</v>
      </c>
      <c r="G105" s="264">
        <v>3834741.81</v>
      </c>
      <c r="H105" s="275">
        <f t="shared" si="1"/>
        <v>2154741.81</v>
      </c>
      <c r="I105" s="171"/>
      <c r="J105" s="171"/>
    </row>
    <row r="106" spans="1:10" s="16" customFormat="1" ht="20.100000000000001" customHeight="1">
      <c r="A106" s="171"/>
      <c r="B106" s="143">
        <v>96</v>
      </c>
      <c r="C106" s="143" t="s">
        <v>189</v>
      </c>
      <c r="D106" s="143" t="s">
        <v>190</v>
      </c>
      <c r="E106" s="144" t="s">
        <v>191</v>
      </c>
      <c r="F106" s="264">
        <v>1200000</v>
      </c>
      <c r="G106" s="264">
        <v>3000000</v>
      </c>
      <c r="H106" s="275">
        <f t="shared" si="1"/>
        <v>1800000</v>
      </c>
      <c r="I106" s="171"/>
      <c r="J106" s="171"/>
    </row>
    <row r="107" spans="1:10" s="16" customFormat="1" ht="20.100000000000001" customHeight="1">
      <c r="A107" s="171"/>
      <c r="B107" s="143">
        <v>97</v>
      </c>
      <c r="C107" s="143" t="s">
        <v>529</v>
      </c>
      <c r="D107" s="143" t="s">
        <v>530</v>
      </c>
      <c r="E107" s="144" t="s">
        <v>531</v>
      </c>
      <c r="F107" s="264">
        <v>300000</v>
      </c>
      <c r="G107" s="264">
        <v>2000000</v>
      </c>
      <c r="H107" s="275">
        <f t="shared" si="1"/>
        <v>1700000</v>
      </c>
      <c r="I107" s="171"/>
      <c r="J107" s="171"/>
    </row>
    <row r="108" spans="1:10" s="16" customFormat="1" ht="20.100000000000001" customHeight="1">
      <c r="A108" s="171"/>
      <c r="B108" s="143">
        <v>98</v>
      </c>
      <c r="C108" s="143" t="s">
        <v>532</v>
      </c>
      <c r="D108" s="143" t="s">
        <v>533</v>
      </c>
      <c r="E108" s="144" t="s">
        <v>534</v>
      </c>
      <c r="F108" s="264">
        <v>1320000</v>
      </c>
      <c r="G108" s="264">
        <v>3968638.53</v>
      </c>
      <c r="H108" s="275">
        <f t="shared" si="1"/>
        <v>2648638.5299999998</v>
      </c>
      <c r="I108" s="171"/>
      <c r="J108" s="171"/>
    </row>
    <row r="109" spans="1:10" s="16" customFormat="1" ht="20.100000000000001" customHeight="1">
      <c r="A109" s="171"/>
      <c r="B109" s="143">
        <v>99</v>
      </c>
      <c r="C109" s="143" t="s">
        <v>192</v>
      </c>
      <c r="D109" s="143" t="s">
        <v>193</v>
      </c>
      <c r="E109" s="144" t="s">
        <v>194</v>
      </c>
      <c r="F109" s="264">
        <v>1452000</v>
      </c>
      <c r="G109" s="264">
        <v>3834741.81</v>
      </c>
      <c r="H109" s="275">
        <f t="shared" si="1"/>
        <v>2382741.81</v>
      </c>
      <c r="I109" s="171"/>
      <c r="J109" s="171"/>
    </row>
    <row r="110" spans="1:10" s="16" customFormat="1" ht="20.100000000000001" customHeight="1">
      <c r="A110" s="171"/>
      <c r="B110" s="143">
        <v>100</v>
      </c>
      <c r="C110" s="143" t="s">
        <v>535</v>
      </c>
      <c r="D110" s="143" t="s">
        <v>536</v>
      </c>
      <c r="E110" s="144" t="s">
        <v>537</v>
      </c>
      <c r="F110" s="264">
        <v>650000</v>
      </c>
      <c r="G110" s="264">
        <v>2500000</v>
      </c>
      <c r="H110" s="275">
        <f t="shared" si="1"/>
        <v>1850000</v>
      </c>
      <c r="I110" s="171"/>
      <c r="J110" s="171"/>
    </row>
    <row r="111" spans="1:10" s="16" customFormat="1" ht="20.100000000000001" customHeight="1">
      <c r="A111" s="171"/>
      <c r="B111" s="143">
        <v>101</v>
      </c>
      <c r="C111" s="143" t="s">
        <v>538</v>
      </c>
      <c r="D111" s="143" t="s">
        <v>539</v>
      </c>
      <c r="E111" s="144" t="s">
        <v>540</v>
      </c>
      <c r="F111" s="264">
        <v>2030400</v>
      </c>
      <c r="G111" s="264">
        <v>4000000</v>
      </c>
      <c r="H111" s="275">
        <f t="shared" si="1"/>
        <v>1969600</v>
      </c>
      <c r="I111" s="171"/>
      <c r="J111" s="171"/>
    </row>
    <row r="112" spans="1:10" s="16" customFormat="1" ht="20.100000000000001" customHeight="1">
      <c r="A112" s="171"/>
      <c r="B112" s="143">
        <v>102</v>
      </c>
      <c r="C112" s="143" t="s">
        <v>542</v>
      </c>
      <c r="D112" s="143" t="s">
        <v>543</v>
      </c>
      <c r="E112" s="144" t="s">
        <v>544</v>
      </c>
      <c r="F112" s="264">
        <v>624000</v>
      </c>
      <c r="G112" s="264">
        <v>1466182.38</v>
      </c>
      <c r="H112" s="275">
        <f t="shared" si="1"/>
        <v>842182.37999999989</v>
      </c>
      <c r="I112" s="171"/>
      <c r="J112" s="171"/>
    </row>
    <row r="113" spans="1:10" s="16" customFormat="1" ht="20.100000000000001" customHeight="1">
      <c r="A113" s="171"/>
      <c r="B113" s="143">
        <v>103</v>
      </c>
      <c r="C113" s="143" t="s">
        <v>545</v>
      </c>
      <c r="D113" s="143" t="s">
        <v>546</v>
      </c>
      <c r="E113" s="144" t="s">
        <v>547</v>
      </c>
      <c r="F113" s="264">
        <v>2400000</v>
      </c>
      <c r="G113" s="264">
        <v>3061521.15</v>
      </c>
      <c r="H113" s="275">
        <f t="shared" si="1"/>
        <v>661521.14999999991</v>
      </c>
      <c r="I113" s="171"/>
      <c r="J113" s="171"/>
    </row>
    <row r="114" spans="1:10" s="16" customFormat="1" ht="20.100000000000001" customHeight="1">
      <c r="A114" s="171"/>
      <c r="B114" s="143">
        <v>104</v>
      </c>
      <c r="C114" s="143" t="s">
        <v>195</v>
      </c>
      <c r="D114" s="143" t="s">
        <v>196</v>
      </c>
      <c r="E114" s="144" t="s">
        <v>197</v>
      </c>
      <c r="F114" s="264">
        <v>35053068</v>
      </c>
      <c r="G114" s="264">
        <v>40000000</v>
      </c>
      <c r="H114" s="275">
        <f t="shared" si="1"/>
        <v>4946932</v>
      </c>
      <c r="I114" s="171"/>
      <c r="J114" s="171"/>
    </row>
    <row r="115" spans="1:10" s="16" customFormat="1" ht="20.100000000000001" customHeight="1">
      <c r="A115" s="171"/>
      <c r="B115" s="143">
        <v>105</v>
      </c>
      <c r="C115" s="143" t="s">
        <v>198</v>
      </c>
      <c r="D115" s="143" t="s">
        <v>548</v>
      </c>
      <c r="E115" s="144" t="s">
        <v>200</v>
      </c>
      <c r="F115" s="264">
        <v>1100000</v>
      </c>
      <c r="G115" s="264">
        <v>3000000</v>
      </c>
      <c r="H115" s="275">
        <f t="shared" si="1"/>
        <v>1900000</v>
      </c>
      <c r="I115" s="171"/>
      <c r="J115" s="171"/>
    </row>
    <row r="116" spans="1:10" s="16" customFormat="1" ht="20.100000000000001" customHeight="1">
      <c r="A116" s="171"/>
      <c r="B116" s="143">
        <v>106</v>
      </c>
      <c r="C116" s="143" t="s">
        <v>201</v>
      </c>
      <c r="D116" s="143" t="s">
        <v>549</v>
      </c>
      <c r="E116" s="144" t="s">
        <v>202</v>
      </c>
      <c r="F116" s="264">
        <v>1100000</v>
      </c>
      <c r="G116" s="264">
        <v>3000000</v>
      </c>
      <c r="H116" s="275">
        <f t="shared" si="1"/>
        <v>1900000</v>
      </c>
      <c r="I116" s="171"/>
      <c r="J116" s="171"/>
    </row>
    <row r="117" spans="1:10" s="16" customFormat="1" ht="20.100000000000001" customHeight="1">
      <c r="A117" s="171"/>
      <c r="B117" s="143">
        <v>107</v>
      </c>
      <c r="C117" s="143" t="s">
        <v>203</v>
      </c>
      <c r="D117" s="143" t="s">
        <v>204</v>
      </c>
      <c r="E117" s="144" t="s">
        <v>205</v>
      </c>
      <c r="F117" s="264">
        <v>3424000</v>
      </c>
      <c r="G117" s="264">
        <v>9071173.7899999991</v>
      </c>
      <c r="H117" s="275">
        <f t="shared" si="1"/>
        <v>5647173.7899999991</v>
      </c>
      <c r="I117" s="171"/>
      <c r="J117" s="171"/>
    </row>
    <row r="118" spans="1:10" s="16" customFormat="1" ht="20.100000000000001" customHeight="1">
      <c r="A118" s="171"/>
      <c r="B118" s="143">
        <v>108</v>
      </c>
      <c r="C118" s="143" t="s">
        <v>206</v>
      </c>
      <c r="D118" s="143" t="s">
        <v>207</v>
      </c>
      <c r="E118" s="144" t="s">
        <v>208</v>
      </c>
      <c r="F118" s="264">
        <v>660000</v>
      </c>
      <c r="G118" s="264">
        <v>3000000</v>
      </c>
      <c r="H118" s="275">
        <f t="shared" si="1"/>
        <v>2340000</v>
      </c>
      <c r="I118" s="171"/>
      <c r="J118" s="171"/>
    </row>
    <row r="119" spans="1:10" s="16" customFormat="1" ht="20.100000000000001" customHeight="1">
      <c r="A119" s="171"/>
      <c r="B119" s="143">
        <v>109</v>
      </c>
      <c r="C119" s="143" t="s">
        <v>209</v>
      </c>
      <c r="D119" s="143" t="s">
        <v>210</v>
      </c>
      <c r="E119" s="144" t="s">
        <v>1944</v>
      </c>
      <c r="F119" s="264">
        <v>3360000</v>
      </c>
      <c r="G119" s="264">
        <v>5102535.26</v>
      </c>
      <c r="H119" s="275">
        <f t="shared" si="1"/>
        <v>1742535.2599999998</v>
      </c>
      <c r="I119" s="171"/>
      <c r="J119" s="171"/>
    </row>
    <row r="120" spans="1:10" s="16" customFormat="1" ht="20.100000000000001" customHeight="1">
      <c r="A120" s="171"/>
      <c r="B120" s="143">
        <v>110</v>
      </c>
      <c r="C120" s="143" t="s">
        <v>550</v>
      </c>
      <c r="D120" s="143" t="s">
        <v>551</v>
      </c>
      <c r="E120" s="144" t="s">
        <v>825</v>
      </c>
      <c r="F120" s="264">
        <v>1650000</v>
      </c>
      <c r="G120" s="264">
        <v>3551267.63</v>
      </c>
      <c r="H120" s="275">
        <f t="shared" si="1"/>
        <v>1901267.63</v>
      </c>
      <c r="I120" s="171"/>
      <c r="J120" s="171"/>
    </row>
    <row r="121" spans="1:10" s="16" customFormat="1" ht="20.100000000000001" customHeight="1">
      <c r="A121" s="171"/>
      <c r="B121" s="143">
        <v>111</v>
      </c>
      <c r="C121" s="143" t="s">
        <v>552</v>
      </c>
      <c r="D121" s="143" t="s">
        <v>553</v>
      </c>
      <c r="E121" s="144" t="s">
        <v>554</v>
      </c>
      <c r="F121" s="264">
        <v>1540000</v>
      </c>
      <c r="G121" s="264">
        <v>3675709.49</v>
      </c>
      <c r="H121" s="275">
        <f t="shared" si="1"/>
        <v>2135709.4900000002</v>
      </c>
      <c r="I121" s="171"/>
      <c r="J121" s="171"/>
    </row>
    <row r="122" spans="1:10" s="16" customFormat="1" ht="20.100000000000001" customHeight="1">
      <c r="A122" s="171"/>
      <c r="B122" s="143">
        <v>112</v>
      </c>
      <c r="C122" s="143" t="s">
        <v>212</v>
      </c>
      <c r="D122" s="143" t="s">
        <v>213</v>
      </c>
      <c r="E122" s="144" t="s">
        <v>214</v>
      </c>
      <c r="F122" s="264">
        <v>1540000</v>
      </c>
      <c r="G122" s="264">
        <v>3551267.63</v>
      </c>
      <c r="H122" s="275">
        <f t="shared" si="1"/>
        <v>2011267.63</v>
      </c>
      <c r="I122" s="171"/>
      <c r="J122" s="171"/>
    </row>
    <row r="123" spans="1:10" s="16" customFormat="1" ht="20.100000000000001" customHeight="1">
      <c r="A123" s="171"/>
      <c r="B123" s="143">
        <v>113</v>
      </c>
      <c r="C123" s="143" t="s">
        <v>215</v>
      </c>
      <c r="D123" s="143" t="s">
        <v>216</v>
      </c>
      <c r="E123" s="144" t="s">
        <v>1488</v>
      </c>
      <c r="F123" s="264">
        <v>5760000</v>
      </c>
      <c r="G123" s="264">
        <v>10205070.51</v>
      </c>
      <c r="H123" s="275">
        <f t="shared" si="1"/>
        <v>4445070.51</v>
      </c>
      <c r="I123" s="171"/>
      <c r="J123" s="171"/>
    </row>
    <row r="124" spans="1:10" s="16" customFormat="1" ht="20.100000000000001" customHeight="1">
      <c r="A124" s="171"/>
      <c r="B124" s="143">
        <v>114</v>
      </c>
      <c r="C124" s="143" t="s">
        <v>555</v>
      </c>
      <c r="D124" s="143" t="s">
        <v>556</v>
      </c>
      <c r="E124" s="144" t="s">
        <v>557</v>
      </c>
      <c r="F124" s="264">
        <v>2985000</v>
      </c>
      <c r="G124" s="264">
        <v>5000000</v>
      </c>
      <c r="H124" s="275">
        <f t="shared" si="1"/>
        <v>2015000</v>
      </c>
      <c r="I124" s="171"/>
      <c r="J124" s="171"/>
    </row>
    <row r="125" spans="1:10" s="16" customFormat="1" ht="20.100000000000001" customHeight="1">
      <c r="A125" s="171"/>
      <c r="B125" s="143">
        <v>115</v>
      </c>
      <c r="C125" s="143" t="s">
        <v>558</v>
      </c>
      <c r="D125" s="143" t="s">
        <v>559</v>
      </c>
      <c r="E125" s="144" t="s">
        <v>560</v>
      </c>
      <c r="F125" s="264">
        <v>600000</v>
      </c>
      <c r="G125" s="264">
        <v>6000000</v>
      </c>
      <c r="H125" s="275">
        <f t="shared" si="1"/>
        <v>5400000</v>
      </c>
      <c r="I125" s="171"/>
      <c r="J125" s="171"/>
    </row>
    <row r="126" spans="1:10" s="16" customFormat="1" ht="20.100000000000001" customHeight="1">
      <c r="A126" s="171"/>
      <c r="B126" s="143">
        <v>116</v>
      </c>
      <c r="C126" s="274" t="s">
        <v>1978</v>
      </c>
      <c r="D126" s="143" t="s">
        <v>1495</v>
      </c>
      <c r="E126" s="144" t="s">
        <v>1496</v>
      </c>
      <c r="F126" s="264">
        <v>1233000</v>
      </c>
      <c r="G126" s="264">
        <v>2000000</v>
      </c>
      <c r="H126" s="275">
        <f t="shared" si="1"/>
        <v>767000</v>
      </c>
      <c r="I126" s="171"/>
      <c r="J126" s="171"/>
    </row>
    <row r="127" spans="1:10" s="16" customFormat="1" ht="20.100000000000001" customHeight="1">
      <c r="A127" s="171"/>
      <c r="B127" s="143">
        <v>117</v>
      </c>
      <c r="C127" s="143" t="s">
        <v>561</v>
      </c>
      <c r="D127" s="143" t="s">
        <v>562</v>
      </c>
      <c r="E127" s="144" t="s">
        <v>563</v>
      </c>
      <c r="F127" s="264">
        <v>337500</v>
      </c>
      <c r="G127" s="264">
        <v>2500000</v>
      </c>
      <c r="H127" s="275">
        <f t="shared" si="1"/>
        <v>2162500</v>
      </c>
      <c r="I127" s="171"/>
      <c r="J127" s="171"/>
    </row>
    <row r="128" spans="1:10" s="16" customFormat="1" ht="20.100000000000001" customHeight="1">
      <c r="A128" s="171"/>
      <c r="B128" s="143">
        <v>118</v>
      </c>
      <c r="C128" s="143" t="s">
        <v>564</v>
      </c>
      <c r="D128" s="143" t="s">
        <v>565</v>
      </c>
      <c r="E128" s="144" t="s">
        <v>566</v>
      </c>
      <c r="F128" s="264">
        <v>900000</v>
      </c>
      <c r="G128" s="264">
        <v>6000000</v>
      </c>
      <c r="H128" s="275">
        <f t="shared" si="1"/>
        <v>5100000</v>
      </c>
      <c r="I128" s="171"/>
      <c r="J128" s="171"/>
    </row>
    <row r="129" spans="1:10" s="16" customFormat="1" ht="20.100000000000001" customHeight="1">
      <c r="A129" s="171"/>
      <c r="B129" s="143">
        <v>119</v>
      </c>
      <c r="C129" s="143" t="s">
        <v>218</v>
      </c>
      <c r="D129" s="143" t="s">
        <v>219</v>
      </c>
      <c r="E129" s="144" t="s">
        <v>220</v>
      </c>
      <c r="F129" s="264">
        <v>1540000</v>
      </c>
      <c r="G129" s="264">
        <v>5000000</v>
      </c>
      <c r="H129" s="275">
        <f t="shared" si="1"/>
        <v>3460000</v>
      </c>
      <c r="I129" s="171"/>
      <c r="J129" s="171"/>
    </row>
    <row r="130" spans="1:10" s="16" customFormat="1" ht="20.100000000000001" customHeight="1">
      <c r="A130" s="171"/>
      <c r="B130" s="143">
        <v>120</v>
      </c>
      <c r="C130" s="143" t="s">
        <v>567</v>
      </c>
      <c r="D130" s="143" t="s">
        <v>568</v>
      </c>
      <c r="E130" s="144" t="s">
        <v>569</v>
      </c>
      <c r="F130" s="264">
        <v>966500</v>
      </c>
      <c r="G130" s="264">
        <v>1700845.09</v>
      </c>
      <c r="H130" s="275">
        <f t="shared" si="1"/>
        <v>734345.09000000008</v>
      </c>
      <c r="I130" s="171"/>
      <c r="J130" s="171"/>
    </row>
    <row r="131" spans="1:10" s="16" customFormat="1" ht="20.100000000000001" customHeight="1">
      <c r="A131" s="171"/>
      <c r="B131" s="143">
        <v>121</v>
      </c>
      <c r="C131" s="143" t="s">
        <v>570</v>
      </c>
      <c r="D131" s="143" t="s">
        <v>571</v>
      </c>
      <c r="E131" s="144" t="s">
        <v>572</v>
      </c>
      <c r="F131" s="264">
        <v>2340000</v>
      </c>
      <c r="G131" s="264">
        <v>2551267.63</v>
      </c>
      <c r="H131" s="275">
        <f t="shared" si="1"/>
        <v>211267.62999999989</v>
      </c>
      <c r="I131" s="171"/>
      <c r="J131" s="171"/>
    </row>
    <row r="132" spans="1:10" s="16" customFormat="1" ht="20.100000000000001" customHeight="1">
      <c r="A132" s="171"/>
      <c r="B132" s="143">
        <v>122</v>
      </c>
      <c r="C132" s="143" t="s">
        <v>573</v>
      </c>
      <c r="D132" s="143" t="s">
        <v>574</v>
      </c>
      <c r="E132" s="144" t="s">
        <v>575</v>
      </c>
      <c r="F132" s="264">
        <v>640000</v>
      </c>
      <c r="G132" s="264">
        <v>1020507.05</v>
      </c>
      <c r="H132" s="275">
        <f t="shared" si="1"/>
        <v>380507.05000000005</v>
      </c>
      <c r="I132" s="171"/>
      <c r="J132" s="171"/>
    </row>
    <row r="133" spans="1:10" s="16" customFormat="1" ht="20.100000000000001" customHeight="1">
      <c r="A133" s="171"/>
      <c r="B133" s="143">
        <v>123</v>
      </c>
      <c r="C133" s="143" t="s">
        <v>576</v>
      </c>
      <c r="D133" s="143" t="s">
        <v>577</v>
      </c>
      <c r="E133" s="144" t="s">
        <v>578</v>
      </c>
      <c r="F133" s="264">
        <v>2300000</v>
      </c>
      <c r="G133" s="264">
        <v>5669483.6200000001</v>
      </c>
      <c r="H133" s="275">
        <f t="shared" si="1"/>
        <v>3369483.62</v>
      </c>
      <c r="I133" s="171"/>
      <c r="J133" s="171"/>
    </row>
    <row r="134" spans="1:10" s="16" customFormat="1" ht="20.100000000000001" customHeight="1">
      <c r="A134" s="171"/>
      <c r="B134" s="143">
        <v>124</v>
      </c>
      <c r="C134" s="143" t="s">
        <v>579</v>
      </c>
      <c r="D134" s="143" t="s">
        <v>580</v>
      </c>
      <c r="E134" s="144" t="s">
        <v>581</v>
      </c>
      <c r="F134" s="264">
        <v>11700000</v>
      </c>
      <c r="G134" s="264">
        <v>12854647.970000001</v>
      </c>
      <c r="H134" s="275">
        <f t="shared" si="1"/>
        <v>1154647.9700000007</v>
      </c>
      <c r="I134" s="171"/>
      <c r="J134" s="171"/>
    </row>
    <row r="135" spans="1:10" s="16" customFormat="1" ht="20.100000000000001" customHeight="1">
      <c r="A135" s="171"/>
      <c r="B135" s="143">
        <v>125</v>
      </c>
      <c r="C135" s="143" t="s">
        <v>221</v>
      </c>
      <c r="D135" s="143" t="s">
        <v>222</v>
      </c>
      <c r="E135" s="144" t="s">
        <v>223</v>
      </c>
      <c r="F135" s="264">
        <v>4950000</v>
      </c>
      <c r="G135" s="264">
        <v>10000000</v>
      </c>
      <c r="H135" s="275">
        <f t="shared" si="1"/>
        <v>5050000</v>
      </c>
      <c r="I135" s="171"/>
      <c r="J135" s="171"/>
    </row>
    <row r="136" spans="1:10" s="16" customFormat="1" ht="20.100000000000001" customHeight="1">
      <c r="A136" s="171"/>
      <c r="B136" s="143">
        <v>126</v>
      </c>
      <c r="C136" s="143" t="s">
        <v>224</v>
      </c>
      <c r="D136" s="143" t="s">
        <v>225</v>
      </c>
      <c r="E136" s="144" t="s">
        <v>226</v>
      </c>
      <c r="F136" s="264">
        <v>720000</v>
      </c>
      <c r="G136" s="264">
        <v>3000000</v>
      </c>
      <c r="H136" s="275">
        <f t="shared" si="1"/>
        <v>2280000</v>
      </c>
      <c r="I136" s="171"/>
      <c r="J136" s="171"/>
    </row>
    <row r="137" spans="1:10" s="16" customFormat="1" ht="20.100000000000001" customHeight="1">
      <c r="A137" s="171"/>
      <c r="B137" s="143">
        <v>127</v>
      </c>
      <c r="C137" s="143" t="s">
        <v>227</v>
      </c>
      <c r="D137" s="143" t="s">
        <v>228</v>
      </c>
      <c r="E137" s="144" t="s">
        <v>229</v>
      </c>
      <c r="F137" s="264">
        <v>4320000</v>
      </c>
      <c r="G137" s="264">
        <v>9071173.7899999991</v>
      </c>
      <c r="H137" s="275">
        <f t="shared" si="1"/>
        <v>4751173.7899999991</v>
      </c>
      <c r="I137" s="171"/>
      <c r="J137" s="171"/>
    </row>
    <row r="138" spans="1:10" s="16" customFormat="1" ht="20.100000000000001" customHeight="1">
      <c r="A138" s="171"/>
      <c r="B138" s="143">
        <v>128</v>
      </c>
      <c r="C138" s="274" t="s">
        <v>1979</v>
      </c>
      <c r="D138" s="143" t="s">
        <v>1506</v>
      </c>
      <c r="E138" s="144" t="s">
        <v>1507</v>
      </c>
      <c r="F138" s="264">
        <v>600000</v>
      </c>
      <c r="G138" s="264">
        <v>2000000</v>
      </c>
      <c r="H138" s="275">
        <f t="shared" si="1"/>
        <v>1400000</v>
      </c>
      <c r="I138" s="171"/>
      <c r="J138" s="171"/>
    </row>
    <row r="139" spans="1:10" s="16" customFormat="1" ht="20.100000000000001" customHeight="1">
      <c r="A139" s="171"/>
      <c r="B139" s="143">
        <v>129</v>
      </c>
      <c r="C139" s="143" t="s">
        <v>230</v>
      </c>
      <c r="D139" s="143" t="s">
        <v>231</v>
      </c>
      <c r="E139" s="144" t="s">
        <v>232</v>
      </c>
      <c r="F139" s="264">
        <v>1545702</v>
      </c>
      <c r="G139" s="264">
        <v>5000000</v>
      </c>
      <c r="H139" s="275">
        <f t="shared" si="1"/>
        <v>3454298</v>
      </c>
      <c r="I139" s="171"/>
      <c r="J139" s="171"/>
    </row>
    <row r="140" spans="1:10" s="16" customFormat="1" ht="20.100000000000001" customHeight="1">
      <c r="A140" s="171"/>
      <c r="B140" s="143">
        <v>130</v>
      </c>
      <c r="C140" s="143" t="s">
        <v>233</v>
      </c>
      <c r="D140" s="143" t="s">
        <v>234</v>
      </c>
      <c r="E140" s="144" t="s">
        <v>235</v>
      </c>
      <c r="F140" s="264">
        <v>720000</v>
      </c>
      <c r="G140" s="264">
        <v>2000000</v>
      </c>
      <c r="H140" s="275">
        <f t="shared" si="1"/>
        <v>1280000</v>
      </c>
      <c r="I140" s="171"/>
      <c r="J140" s="171"/>
    </row>
    <row r="141" spans="1:10" s="16" customFormat="1" ht="20.100000000000001" customHeight="1">
      <c r="A141" s="171"/>
      <c r="B141" s="143">
        <v>131</v>
      </c>
      <c r="C141" s="143" t="s">
        <v>236</v>
      </c>
      <c r="D141" s="143" t="s">
        <v>237</v>
      </c>
      <c r="E141" s="144" t="s">
        <v>582</v>
      </c>
      <c r="F141" s="264">
        <v>990000</v>
      </c>
      <c r="G141" s="264">
        <v>2737930.42</v>
      </c>
      <c r="H141" s="275">
        <f t="shared" ref="H141:H147" si="2">G141-F141</f>
        <v>1747930.42</v>
      </c>
      <c r="I141" s="171"/>
      <c r="J141" s="171"/>
    </row>
    <row r="142" spans="1:10" s="16" customFormat="1" ht="20.100000000000001" customHeight="1">
      <c r="A142" s="171"/>
      <c r="B142" s="143">
        <v>132</v>
      </c>
      <c r="C142" s="143" t="s">
        <v>239</v>
      </c>
      <c r="D142" s="143" t="s">
        <v>240</v>
      </c>
      <c r="E142" s="144" t="s">
        <v>241</v>
      </c>
      <c r="F142" s="264">
        <v>9022000</v>
      </c>
      <c r="G142" s="264">
        <v>20000000</v>
      </c>
      <c r="H142" s="275">
        <f t="shared" si="2"/>
        <v>10978000</v>
      </c>
      <c r="I142" s="171"/>
      <c r="J142" s="171"/>
    </row>
    <row r="143" spans="1:10" s="16" customFormat="1" ht="20.100000000000001" customHeight="1">
      <c r="A143" s="171"/>
      <c r="B143" s="143">
        <v>133</v>
      </c>
      <c r="C143" s="143">
        <v>23100300200</v>
      </c>
      <c r="D143" s="143" t="s">
        <v>583</v>
      </c>
      <c r="E143" s="144" t="s">
        <v>584</v>
      </c>
      <c r="F143" s="264">
        <v>600000</v>
      </c>
      <c r="G143" s="264">
        <v>3000000</v>
      </c>
      <c r="H143" s="275">
        <f t="shared" si="2"/>
        <v>2400000</v>
      </c>
      <c r="I143" s="171"/>
      <c r="J143" s="171"/>
    </row>
    <row r="144" spans="1:10" s="16" customFormat="1" ht="20.100000000000001" customHeight="1">
      <c r="A144" s="171"/>
      <c r="B144" s="143">
        <v>134</v>
      </c>
      <c r="C144" s="143" t="s">
        <v>585</v>
      </c>
      <c r="D144" s="143" t="s">
        <v>586</v>
      </c>
      <c r="E144" s="144" t="s">
        <v>587</v>
      </c>
      <c r="F144" s="264">
        <v>1200000</v>
      </c>
      <c r="G144" s="264">
        <v>6000000</v>
      </c>
      <c r="H144" s="275">
        <f t="shared" si="2"/>
        <v>4800000</v>
      </c>
      <c r="I144" s="171"/>
      <c r="J144" s="171"/>
    </row>
    <row r="145" spans="1:10" s="16" customFormat="1" ht="20.100000000000001" customHeight="1">
      <c r="A145" s="171"/>
      <c r="B145" s="143">
        <v>135</v>
      </c>
      <c r="C145" s="279" t="s">
        <v>558</v>
      </c>
      <c r="D145" s="368" t="s">
        <v>462</v>
      </c>
      <c r="E145" s="144" t="s">
        <v>463</v>
      </c>
      <c r="F145" s="370">
        <v>600000</v>
      </c>
      <c r="G145" s="370">
        <v>2000000</v>
      </c>
      <c r="H145" s="275">
        <f t="shared" si="2"/>
        <v>1400000</v>
      </c>
      <c r="I145" s="171"/>
      <c r="J145" s="171"/>
    </row>
    <row r="146" spans="1:10" s="16" customFormat="1" ht="20.100000000000001" customHeight="1">
      <c r="A146" s="171"/>
      <c r="B146" s="143">
        <v>136</v>
      </c>
      <c r="C146" s="279" t="s">
        <v>600</v>
      </c>
      <c r="D146" s="368" t="s">
        <v>464</v>
      </c>
      <c r="E146" s="312" t="s">
        <v>465</v>
      </c>
      <c r="F146" s="370">
        <v>600000</v>
      </c>
      <c r="G146" s="370">
        <v>3000000</v>
      </c>
      <c r="H146" s="275">
        <f t="shared" si="2"/>
        <v>2400000</v>
      </c>
      <c r="I146" s="171"/>
      <c r="J146" s="171"/>
    </row>
    <row r="147" spans="1:10" s="16" customFormat="1" ht="20.100000000000001" customHeight="1">
      <c r="A147" s="171"/>
      <c r="B147" s="143">
        <v>137</v>
      </c>
      <c r="C147" s="176" t="s">
        <v>489</v>
      </c>
      <c r="D147" s="31" t="s">
        <v>453</v>
      </c>
      <c r="E147" s="316" t="s">
        <v>454</v>
      </c>
      <c r="F147" s="367">
        <v>1200000</v>
      </c>
      <c r="G147" s="367">
        <v>4000000</v>
      </c>
      <c r="H147" s="275">
        <f t="shared" si="2"/>
        <v>2800000</v>
      </c>
      <c r="I147" s="171"/>
      <c r="J147" s="171"/>
    </row>
    <row r="148" spans="1:10" s="16" customFormat="1" ht="20.100000000000001" customHeight="1">
      <c r="A148" s="171"/>
      <c r="B148" s="143"/>
      <c r="C148" s="143"/>
      <c r="D148" s="143"/>
      <c r="E148" s="311" t="s">
        <v>588</v>
      </c>
      <c r="F148" s="266">
        <f>SUM(F76:F147)</f>
        <v>371125749.63</v>
      </c>
      <c r="G148" s="266">
        <f>SUM(G76:G147)</f>
        <v>618068788.93999994</v>
      </c>
      <c r="H148" s="266">
        <f>SUM(H76:H147)</f>
        <v>246943039.30999997</v>
      </c>
      <c r="I148" s="171"/>
      <c r="J148" s="171"/>
    </row>
    <row r="149" spans="1:10" s="16" customFormat="1" ht="20.100000000000001" customHeight="1">
      <c r="A149" s="171"/>
      <c r="B149" s="143"/>
      <c r="C149" s="143"/>
      <c r="D149" s="143"/>
      <c r="E149" s="144"/>
      <c r="F149" s="264"/>
      <c r="G149" s="264"/>
      <c r="H149" s="143"/>
      <c r="I149" s="171"/>
      <c r="J149" s="171"/>
    </row>
    <row r="150" spans="1:10" s="16" customFormat="1" ht="20.100000000000001" customHeight="1">
      <c r="A150" s="171"/>
      <c r="B150" s="143"/>
      <c r="C150" s="143"/>
      <c r="D150" s="143"/>
      <c r="E150" s="311" t="s">
        <v>249</v>
      </c>
      <c r="F150" s="264"/>
      <c r="G150" s="264"/>
      <c r="H150" s="143"/>
      <c r="I150" s="171"/>
      <c r="J150" s="171"/>
    </row>
    <row r="151" spans="1:10" s="16" customFormat="1" ht="20.100000000000001" customHeight="1">
      <c r="A151" s="171"/>
      <c r="B151" s="143">
        <v>138</v>
      </c>
      <c r="C151" s="143" t="s">
        <v>591</v>
      </c>
      <c r="D151" s="143" t="s">
        <v>590</v>
      </c>
      <c r="E151" s="144" t="s">
        <v>592</v>
      </c>
      <c r="F151" s="264">
        <v>1680000</v>
      </c>
      <c r="G151" s="264">
        <v>2551267.63</v>
      </c>
      <c r="H151" s="275">
        <f>G151-F151</f>
        <v>871267.62999999989</v>
      </c>
      <c r="I151" s="171"/>
      <c r="J151" s="171"/>
    </row>
    <row r="152" spans="1:10" s="16" customFormat="1" ht="20.100000000000001" customHeight="1">
      <c r="A152" s="171"/>
      <c r="B152" s="143">
        <v>139</v>
      </c>
      <c r="C152" s="143" t="s">
        <v>593</v>
      </c>
      <c r="D152" s="143" t="s">
        <v>594</v>
      </c>
      <c r="E152" s="144" t="s">
        <v>595</v>
      </c>
      <c r="F152" s="264">
        <v>900000</v>
      </c>
      <c r="G152" s="264">
        <v>5000000</v>
      </c>
      <c r="H152" s="275">
        <f t="shared" ref="H152:H185" si="3">G152-F152</f>
        <v>4100000</v>
      </c>
      <c r="I152" s="171"/>
      <c r="J152" s="171"/>
    </row>
    <row r="153" spans="1:10" s="16" customFormat="1" ht="20.100000000000001" customHeight="1">
      <c r="A153" s="171"/>
      <c r="B153" s="143">
        <v>140</v>
      </c>
      <c r="C153" s="143" t="s">
        <v>251</v>
      </c>
      <c r="D153" s="143" t="s">
        <v>252</v>
      </c>
      <c r="E153" s="144" t="s">
        <v>253</v>
      </c>
      <c r="F153" s="264">
        <v>5200000</v>
      </c>
      <c r="G153" s="264">
        <v>10037277.060000001</v>
      </c>
      <c r="H153" s="275">
        <f t="shared" si="3"/>
        <v>4837277.0600000005</v>
      </c>
      <c r="I153" s="171"/>
      <c r="J153" s="171"/>
    </row>
    <row r="154" spans="1:10" s="16" customFormat="1" ht="20.100000000000001" customHeight="1">
      <c r="A154" s="171"/>
      <c r="B154" s="143">
        <v>141</v>
      </c>
      <c r="C154" s="143" t="s">
        <v>254</v>
      </c>
      <c r="D154" s="143" t="s">
        <v>255</v>
      </c>
      <c r="E154" s="144" t="s">
        <v>256</v>
      </c>
      <c r="F154" s="264">
        <v>81000</v>
      </c>
      <c r="G154" s="264">
        <v>566948.36</v>
      </c>
      <c r="H154" s="275">
        <f t="shared" si="3"/>
        <v>485948.36</v>
      </c>
      <c r="I154" s="171"/>
      <c r="J154" s="171"/>
    </row>
    <row r="155" spans="1:10" s="16" customFormat="1" ht="20.100000000000001" customHeight="1">
      <c r="A155" s="171"/>
      <c r="B155" s="143">
        <v>142</v>
      </c>
      <c r="C155" s="143" t="s">
        <v>257</v>
      </c>
      <c r="D155" s="143" t="s">
        <v>258</v>
      </c>
      <c r="E155" s="144" t="s">
        <v>259</v>
      </c>
      <c r="F155" s="264">
        <v>879000</v>
      </c>
      <c r="G155" s="264">
        <v>1530760.58</v>
      </c>
      <c r="H155" s="275">
        <f t="shared" si="3"/>
        <v>651760.58000000007</v>
      </c>
      <c r="I155" s="171"/>
      <c r="J155" s="171"/>
    </row>
    <row r="156" spans="1:10" s="16" customFormat="1" ht="20.100000000000001" customHeight="1">
      <c r="A156" s="171"/>
      <c r="B156" s="143">
        <v>143</v>
      </c>
      <c r="C156" s="143" t="s">
        <v>260</v>
      </c>
      <c r="D156" s="143" t="s">
        <v>261</v>
      </c>
      <c r="E156" s="144" t="s">
        <v>596</v>
      </c>
      <c r="F156" s="264">
        <v>3600000</v>
      </c>
      <c r="G156" s="264">
        <v>7000000</v>
      </c>
      <c r="H156" s="275">
        <f t="shared" si="3"/>
        <v>3400000</v>
      </c>
      <c r="I156" s="171"/>
      <c r="J156" s="171"/>
    </row>
    <row r="157" spans="1:10" s="16" customFormat="1" ht="20.100000000000001" customHeight="1">
      <c r="A157" s="171"/>
      <c r="B157" s="143">
        <v>144</v>
      </c>
      <c r="C157" s="143" t="s">
        <v>271</v>
      </c>
      <c r="D157" s="143" t="s">
        <v>272</v>
      </c>
      <c r="E157" s="144" t="s">
        <v>273</v>
      </c>
      <c r="F157" s="264">
        <v>22483500</v>
      </c>
      <c r="G157" s="264">
        <v>36000000</v>
      </c>
      <c r="H157" s="275">
        <f t="shared" si="3"/>
        <v>13516500</v>
      </c>
      <c r="I157" s="171"/>
      <c r="J157" s="171"/>
    </row>
    <row r="158" spans="1:10" s="16" customFormat="1" ht="20.100000000000001" customHeight="1">
      <c r="A158" s="171"/>
      <c r="B158" s="143">
        <v>145</v>
      </c>
      <c r="C158" s="143" t="s">
        <v>274</v>
      </c>
      <c r="D158" s="143" t="s">
        <v>275</v>
      </c>
      <c r="E158" s="144" t="s">
        <v>276</v>
      </c>
      <c r="F158" s="264">
        <v>1980000</v>
      </c>
      <c r="G158" s="264">
        <v>3000000</v>
      </c>
      <c r="H158" s="275">
        <f t="shared" si="3"/>
        <v>1020000</v>
      </c>
      <c r="I158" s="171"/>
      <c r="J158" s="171"/>
    </row>
    <row r="159" spans="1:10" s="16" customFormat="1" ht="20.100000000000001" customHeight="1">
      <c r="A159" s="171"/>
      <c r="B159" s="143">
        <v>146</v>
      </c>
      <c r="C159" s="143" t="s">
        <v>597</v>
      </c>
      <c r="D159" s="143" t="s">
        <v>598</v>
      </c>
      <c r="E159" s="144" t="s">
        <v>599</v>
      </c>
      <c r="F159" s="264">
        <v>1200000</v>
      </c>
      <c r="G159" s="264">
        <v>2721352.14</v>
      </c>
      <c r="H159" s="275">
        <f t="shared" si="3"/>
        <v>1521352.1400000001</v>
      </c>
      <c r="I159" s="171"/>
      <c r="J159" s="171"/>
    </row>
    <row r="160" spans="1:10" s="16" customFormat="1" ht="20.100000000000001" customHeight="1">
      <c r="A160" s="171"/>
      <c r="B160" s="143">
        <v>147</v>
      </c>
      <c r="C160" s="143" t="s">
        <v>281</v>
      </c>
      <c r="D160" s="143" t="s">
        <v>282</v>
      </c>
      <c r="E160" s="144" t="s">
        <v>283</v>
      </c>
      <c r="F160" s="264">
        <v>13820000</v>
      </c>
      <c r="G160" s="264">
        <v>20000000</v>
      </c>
      <c r="H160" s="275">
        <f t="shared" si="3"/>
        <v>6180000</v>
      </c>
      <c r="I160" s="171"/>
      <c r="J160" s="171"/>
    </row>
    <row r="161" spans="1:10" s="16" customFormat="1" ht="20.100000000000001" customHeight="1">
      <c r="A161" s="171"/>
      <c r="B161" s="143">
        <v>148</v>
      </c>
      <c r="C161" s="143" t="s">
        <v>284</v>
      </c>
      <c r="D161" s="143" t="s">
        <v>285</v>
      </c>
      <c r="E161" s="144" t="s">
        <v>286</v>
      </c>
      <c r="F161" s="264">
        <v>440000</v>
      </c>
      <c r="G161" s="264">
        <v>1700000</v>
      </c>
      <c r="H161" s="275">
        <f t="shared" si="3"/>
        <v>1260000</v>
      </c>
      <c r="I161" s="171"/>
      <c r="J161" s="171"/>
    </row>
    <row r="162" spans="1:10" s="16" customFormat="1" ht="20.100000000000001" customHeight="1">
      <c r="A162" s="171"/>
      <c r="B162" s="143">
        <v>149</v>
      </c>
      <c r="C162" s="143" t="s">
        <v>287</v>
      </c>
      <c r="D162" s="143" t="s">
        <v>288</v>
      </c>
      <c r="E162" s="144" t="s">
        <v>289</v>
      </c>
      <c r="F162" s="264">
        <v>480000</v>
      </c>
      <c r="G162" s="264">
        <v>1700000</v>
      </c>
      <c r="H162" s="275">
        <f t="shared" si="3"/>
        <v>1220000</v>
      </c>
      <c r="I162" s="171"/>
      <c r="J162" s="171"/>
    </row>
    <row r="163" spans="1:10" s="16" customFormat="1" ht="20.100000000000001" customHeight="1">
      <c r="A163" s="171"/>
      <c r="B163" s="143">
        <v>150</v>
      </c>
      <c r="C163" s="143" t="s">
        <v>290</v>
      </c>
      <c r="D163" s="143" t="s">
        <v>291</v>
      </c>
      <c r="E163" s="144" t="s">
        <v>292</v>
      </c>
      <c r="F163" s="264">
        <v>990000</v>
      </c>
      <c r="G163" s="264">
        <v>1700845.09</v>
      </c>
      <c r="H163" s="275">
        <f t="shared" si="3"/>
        <v>710845.09000000008</v>
      </c>
      <c r="I163" s="171"/>
      <c r="J163" s="171"/>
    </row>
    <row r="164" spans="1:10" s="16" customFormat="1" ht="20.100000000000001" customHeight="1">
      <c r="A164" s="171"/>
      <c r="B164" s="143">
        <v>151</v>
      </c>
      <c r="C164" s="143" t="s">
        <v>293</v>
      </c>
      <c r="D164" s="143" t="s">
        <v>294</v>
      </c>
      <c r="E164" s="144" t="s">
        <v>295</v>
      </c>
      <c r="F164" s="264">
        <v>480000</v>
      </c>
      <c r="G164" s="264">
        <v>3401690.17</v>
      </c>
      <c r="H164" s="275">
        <f t="shared" si="3"/>
        <v>2921690.17</v>
      </c>
      <c r="I164" s="171"/>
      <c r="J164" s="171"/>
    </row>
    <row r="165" spans="1:10" s="16" customFormat="1" ht="20.100000000000001" customHeight="1">
      <c r="A165" s="171"/>
      <c r="B165" s="143">
        <v>152</v>
      </c>
      <c r="C165" s="143" t="s">
        <v>296</v>
      </c>
      <c r="D165" s="143" t="s">
        <v>297</v>
      </c>
      <c r="E165" s="144" t="s">
        <v>298</v>
      </c>
      <c r="F165" s="264">
        <v>1320000</v>
      </c>
      <c r="G165" s="264">
        <v>2551267.63</v>
      </c>
      <c r="H165" s="275">
        <f t="shared" si="3"/>
        <v>1231267.6299999999</v>
      </c>
      <c r="I165" s="171"/>
      <c r="J165" s="171"/>
    </row>
    <row r="166" spans="1:10" s="16" customFormat="1" ht="20.100000000000001" customHeight="1">
      <c r="A166" s="171"/>
      <c r="B166" s="143">
        <v>153</v>
      </c>
      <c r="C166" s="143" t="s">
        <v>299</v>
      </c>
      <c r="D166" s="143" t="s">
        <v>300</v>
      </c>
      <c r="E166" s="144" t="s">
        <v>301</v>
      </c>
      <c r="F166" s="264">
        <v>2200000</v>
      </c>
      <c r="G166" s="264">
        <v>9000000</v>
      </c>
      <c r="H166" s="275">
        <f t="shared" si="3"/>
        <v>6800000</v>
      </c>
      <c r="I166" s="171"/>
      <c r="J166" s="171"/>
    </row>
    <row r="167" spans="1:10" s="16" customFormat="1" ht="20.100000000000001" customHeight="1">
      <c r="A167" s="171"/>
      <c r="B167" s="143">
        <v>154</v>
      </c>
      <c r="C167" s="274" t="s">
        <v>1980</v>
      </c>
      <c r="D167" s="143" t="s">
        <v>1491</v>
      </c>
      <c r="E167" s="144" t="s">
        <v>1492</v>
      </c>
      <c r="F167" s="264">
        <v>500000</v>
      </c>
      <c r="G167" s="264">
        <v>2000000</v>
      </c>
      <c r="H167" s="275">
        <f t="shared" si="3"/>
        <v>1500000</v>
      </c>
      <c r="I167" s="171"/>
      <c r="J167" s="171"/>
    </row>
    <row r="168" spans="1:10" s="16" customFormat="1" ht="20.100000000000001" customHeight="1">
      <c r="A168" s="171"/>
      <c r="B168" s="143">
        <v>155</v>
      </c>
      <c r="C168" s="274" t="s">
        <v>1981</v>
      </c>
      <c r="D168" s="143" t="s">
        <v>1497</v>
      </c>
      <c r="E168" s="144" t="s">
        <v>1498</v>
      </c>
      <c r="F168" s="264">
        <v>500000</v>
      </c>
      <c r="G168" s="264">
        <v>2000000</v>
      </c>
      <c r="H168" s="275">
        <f t="shared" si="3"/>
        <v>1500000</v>
      </c>
      <c r="I168" s="171"/>
      <c r="J168" s="171"/>
    </row>
    <row r="169" spans="1:10" s="16" customFormat="1" ht="20.100000000000001" customHeight="1">
      <c r="A169" s="171"/>
      <c r="B169" s="143">
        <v>156</v>
      </c>
      <c r="C169" s="274" t="s">
        <v>600</v>
      </c>
      <c r="D169" s="143" t="s">
        <v>601</v>
      </c>
      <c r="E169" s="144" t="s">
        <v>602</v>
      </c>
      <c r="F169" s="264">
        <v>1980000</v>
      </c>
      <c r="G169" s="264">
        <v>3061521.15</v>
      </c>
      <c r="H169" s="275">
        <f t="shared" si="3"/>
        <v>1081521.1499999999</v>
      </c>
      <c r="I169" s="171"/>
      <c r="J169" s="171"/>
    </row>
    <row r="170" spans="1:10" s="16" customFormat="1" ht="20.100000000000001" customHeight="1">
      <c r="A170" s="171"/>
      <c r="B170" s="143">
        <v>157</v>
      </c>
      <c r="C170" s="274" t="s">
        <v>302</v>
      </c>
      <c r="D170" s="143" t="s">
        <v>303</v>
      </c>
      <c r="E170" s="144" t="s">
        <v>304</v>
      </c>
      <c r="F170" s="264">
        <v>2640000</v>
      </c>
      <c r="G170" s="264">
        <v>6000000</v>
      </c>
      <c r="H170" s="275">
        <f t="shared" si="3"/>
        <v>3360000</v>
      </c>
      <c r="I170" s="171"/>
      <c r="J170" s="171"/>
    </row>
    <row r="171" spans="1:10" s="16" customFormat="1" ht="20.100000000000001" customHeight="1">
      <c r="A171" s="171"/>
      <c r="B171" s="143">
        <v>158</v>
      </c>
      <c r="C171" s="274" t="s">
        <v>305</v>
      </c>
      <c r="D171" s="143" t="s">
        <v>306</v>
      </c>
      <c r="E171" s="144" t="s">
        <v>307</v>
      </c>
      <c r="F171" s="264">
        <v>3000000</v>
      </c>
      <c r="G171" s="264">
        <v>8504225.4299999997</v>
      </c>
      <c r="H171" s="275">
        <f t="shared" si="3"/>
        <v>5504225.4299999997</v>
      </c>
      <c r="I171" s="171"/>
      <c r="J171" s="171"/>
    </row>
    <row r="172" spans="1:10" s="16" customFormat="1" ht="20.100000000000001" customHeight="1">
      <c r="A172" s="171"/>
      <c r="B172" s="143">
        <v>159</v>
      </c>
      <c r="C172" s="274" t="s">
        <v>1982</v>
      </c>
      <c r="D172" s="143" t="s">
        <v>1493</v>
      </c>
      <c r="E172" s="144" t="s">
        <v>1494</v>
      </c>
      <c r="F172" s="264">
        <v>550000</v>
      </c>
      <c r="G172" s="264">
        <v>2000000</v>
      </c>
      <c r="H172" s="275">
        <f t="shared" si="3"/>
        <v>1450000</v>
      </c>
      <c r="I172" s="171"/>
      <c r="J172" s="171"/>
    </row>
    <row r="173" spans="1:10" s="16" customFormat="1" ht="20.100000000000001" customHeight="1">
      <c r="A173" s="171"/>
      <c r="B173" s="143">
        <v>160</v>
      </c>
      <c r="C173" s="143" t="s">
        <v>308</v>
      </c>
      <c r="D173" s="143" t="s">
        <v>309</v>
      </c>
      <c r="E173" s="144" t="s">
        <v>310</v>
      </c>
      <c r="F173" s="264">
        <v>552000</v>
      </c>
      <c r="G173" s="264">
        <v>1500000</v>
      </c>
      <c r="H173" s="275">
        <f t="shared" si="3"/>
        <v>948000</v>
      </c>
      <c r="I173" s="171"/>
      <c r="J173" s="171"/>
    </row>
    <row r="174" spans="1:10" s="16" customFormat="1" ht="20.100000000000001" customHeight="1">
      <c r="A174" s="171"/>
      <c r="B174" s="143">
        <v>161</v>
      </c>
      <c r="C174" s="143" t="s">
        <v>311</v>
      </c>
      <c r="D174" s="143" t="s">
        <v>312</v>
      </c>
      <c r="E174" s="144" t="s">
        <v>313</v>
      </c>
      <c r="F174" s="264">
        <v>4966000</v>
      </c>
      <c r="G174" s="264">
        <v>7000000</v>
      </c>
      <c r="H174" s="275">
        <f t="shared" si="3"/>
        <v>2034000</v>
      </c>
      <c r="I174" s="171"/>
      <c r="J174" s="171"/>
    </row>
    <row r="175" spans="1:10" s="16" customFormat="1" ht="20.100000000000001" customHeight="1">
      <c r="A175" s="171"/>
      <c r="B175" s="143">
        <v>162</v>
      </c>
      <c r="C175" s="143" t="s">
        <v>314</v>
      </c>
      <c r="D175" s="143" t="s">
        <v>315</v>
      </c>
      <c r="E175" s="144" t="s">
        <v>316</v>
      </c>
      <c r="F175" s="264">
        <v>660000</v>
      </c>
      <c r="G175" s="264">
        <v>1700845.09</v>
      </c>
      <c r="H175" s="275">
        <f t="shared" si="3"/>
        <v>1040845.0900000001</v>
      </c>
      <c r="I175" s="171"/>
      <c r="J175" s="171"/>
    </row>
    <row r="176" spans="1:10" s="16" customFormat="1" ht="20.100000000000001" customHeight="1">
      <c r="A176" s="171"/>
      <c r="B176" s="143">
        <v>163</v>
      </c>
      <c r="C176" s="143" t="s">
        <v>317</v>
      </c>
      <c r="D176" s="143" t="s">
        <v>318</v>
      </c>
      <c r="E176" s="144" t="s">
        <v>319</v>
      </c>
      <c r="F176" s="264">
        <v>3791666.75</v>
      </c>
      <c r="G176" s="264">
        <v>7754627.3700000001</v>
      </c>
      <c r="H176" s="275">
        <f t="shared" si="3"/>
        <v>3962960.62</v>
      </c>
      <c r="I176" s="171"/>
      <c r="J176" s="171"/>
    </row>
    <row r="177" spans="1:10" s="16" customFormat="1" ht="20.100000000000001" customHeight="1">
      <c r="A177" s="171"/>
      <c r="B177" s="143">
        <v>164</v>
      </c>
      <c r="C177" s="143" t="s">
        <v>603</v>
      </c>
      <c r="D177" s="143" t="s">
        <v>604</v>
      </c>
      <c r="E177" s="144" t="s">
        <v>605</v>
      </c>
      <c r="F177" s="264">
        <v>3850000</v>
      </c>
      <c r="G177" s="264">
        <v>5803380.3399999999</v>
      </c>
      <c r="H177" s="275">
        <f t="shared" si="3"/>
        <v>1953380.3399999999</v>
      </c>
      <c r="I177" s="171"/>
      <c r="J177" s="171"/>
    </row>
    <row r="178" spans="1:10" s="16" customFormat="1" ht="20.100000000000001" customHeight="1">
      <c r="A178" s="171"/>
      <c r="B178" s="143">
        <v>165</v>
      </c>
      <c r="C178" s="143" t="s">
        <v>320</v>
      </c>
      <c r="D178" s="143" t="s">
        <v>321</v>
      </c>
      <c r="E178" s="144" t="s">
        <v>322</v>
      </c>
      <c r="F178" s="264">
        <v>3100000</v>
      </c>
      <c r="G178" s="264">
        <v>7000000</v>
      </c>
      <c r="H178" s="275">
        <f t="shared" si="3"/>
        <v>3900000</v>
      </c>
      <c r="I178" s="171"/>
      <c r="J178" s="171"/>
    </row>
    <row r="179" spans="1:10" s="16" customFormat="1" ht="20.100000000000001" customHeight="1">
      <c r="A179" s="171"/>
      <c r="B179" s="143">
        <v>166</v>
      </c>
      <c r="C179" s="143" t="s">
        <v>324</v>
      </c>
      <c r="D179" s="143" t="s">
        <v>325</v>
      </c>
      <c r="E179" s="144" t="s">
        <v>326</v>
      </c>
      <c r="F179" s="264">
        <v>1760000</v>
      </c>
      <c r="G179" s="264">
        <v>6000000</v>
      </c>
      <c r="H179" s="275">
        <f t="shared" si="3"/>
        <v>4240000</v>
      </c>
      <c r="I179" s="171"/>
      <c r="J179" s="171"/>
    </row>
    <row r="180" spans="1:10" s="16" customFormat="1" ht="20.100000000000001" customHeight="1">
      <c r="A180" s="171"/>
      <c r="B180" s="143">
        <v>167</v>
      </c>
      <c r="C180" s="143" t="s">
        <v>324</v>
      </c>
      <c r="D180" s="143" t="s">
        <v>606</v>
      </c>
      <c r="E180" s="144" t="s">
        <v>1556</v>
      </c>
      <c r="F180" s="264">
        <v>660000</v>
      </c>
      <c r="G180" s="264">
        <v>1585460.29</v>
      </c>
      <c r="H180" s="275">
        <f t="shared" si="3"/>
        <v>925460.29</v>
      </c>
      <c r="I180" s="171"/>
      <c r="J180" s="171"/>
    </row>
    <row r="181" spans="1:10" s="16" customFormat="1" ht="20.100000000000001" customHeight="1">
      <c r="A181" s="171"/>
      <c r="B181" s="143">
        <v>168</v>
      </c>
      <c r="C181" s="143" t="s">
        <v>608</v>
      </c>
      <c r="D181" s="143" t="s">
        <v>609</v>
      </c>
      <c r="E181" s="144" t="s">
        <v>610</v>
      </c>
      <c r="F181" s="264">
        <v>2600000</v>
      </c>
      <c r="G181" s="264">
        <v>3968638.53</v>
      </c>
      <c r="H181" s="275">
        <f t="shared" si="3"/>
        <v>1368638.5299999998</v>
      </c>
      <c r="I181" s="171"/>
      <c r="J181" s="171"/>
    </row>
    <row r="182" spans="1:10" s="16" customFormat="1" ht="20.100000000000001" customHeight="1">
      <c r="A182" s="171"/>
      <c r="B182" s="143">
        <v>169</v>
      </c>
      <c r="C182" s="274" t="s">
        <v>1983</v>
      </c>
      <c r="D182" s="143" t="s">
        <v>611</v>
      </c>
      <c r="E182" s="144" t="s">
        <v>612</v>
      </c>
      <c r="F182" s="264">
        <v>600000</v>
      </c>
      <c r="G182" s="264">
        <v>3000000</v>
      </c>
      <c r="H182" s="275">
        <f t="shared" si="3"/>
        <v>2400000</v>
      </c>
      <c r="I182" s="171"/>
      <c r="J182" s="171"/>
    </row>
    <row r="183" spans="1:10" s="16" customFormat="1" ht="20.100000000000001" customHeight="1">
      <c r="A183" s="171"/>
      <c r="B183" s="143">
        <v>170</v>
      </c>
      <c r="C183" s="274" t="s">
        <v>1984</v>
      </c>
      <c r="D183" s="143" t="s">
        <v>613</v>
      </c>
      <c r="E183" s="144" t="s">
        <v>614</v>
      </c>
      <c r="F183" s="264">
        <v>550000</v>
      </c>
      <c r="G183" s="264">
        <v>2000000</v>
      </c>
      <c r="H183" s="275">
        <f t="shared" si="3"/>
        <v>1450000</v>
      </c>
      <c r="I183" s="171"/>
      <c r="J183" s="171"/>
    </row>
    <row r="184" spans="1:10" s="16" customFormat="1" ht="20.100000000000001" customHeight="1">
      <c r="A184" s="171"/>
      <c r="B184" s="143">
        <v>171</v>
      </c>
      <c r="C184" s="274" t="s">
        <v>1985</v>
      </c>
      <c r="D184" s="143" t="s">
        <v>1487</v>
      </c>
      <c r="E184" s="144" t="s">
        <v>615</v>
      </c>
      <c r="F184" s="264">
        <v>500000</v>
      </c>
      <c r="G184" s="264">
        <v>2000000</v>
      </c>
      <c r="H184" s="275">
        <f t="shared" si="3"/>
        <v>1500000</v>
      </c>
      <c r="I184" s="171"/>
      <c r="J184" s="171"/>
    </row>
    <row r="185" spans="1:10" s="16" customFormat="1" ht="20.100000000000001" customHeight="1">
      <c r="A185" s="171"/>
      <c r="B185" s="143">
        <v>172</v>
      </c>
      <c r="C185" s="274" t="s">
        <v>616</v>
      </c>
      <c r="D185" s="143" t="s">
        <v>617</v>
      </c>
      <c r="E185" s="144" t="s">
        <v>618</v>
      </c>
      <c r="F185" s="264">
        <v>11715784</v>
      </c>
      <c r="G185" s="264">
        <v>14000000</v>
      </c>
      <c r="H185" s="275">
        <f t="shared" si="3"/>
        <v>2284216</v>
      </c>
      <c r="I185" s="171"/>
      <c r="J185" s="171"/>
    </row>
    <row r="186" spans="1:10" s="16" customFormat="1" ht="20.100000000000001" customHeight="1">
      <c r="A186" s="171"/>
      <c r="B186" s="143"/>
      <c r="C186" s="143"/>
      <c r="D186" s="143"/>
      <c r="E186" s="160" t="s">
        <v>327</v>
      </c>
      <c r="F186" s="266">
        <f>SUM(F151:F185)</f>
        <v>102208950.75</v>
      </c>
      <c r="G186" s="266">
        <f>SUM(G151:G185)</f>
        <v>195340106.86000001</v>
      </c>
      <c r="H186" s="266">
        <f>SUM(H151:H185)</f>
        <v>93131156.110000029</v>
      </c>
      <c r="I186" s="171"/>
      <c r="J186" s="171"/>
    </row>
    <row r="187" spans="1:10" s="16" customFormat="1" ht="20.100000000000001" customHeight="1">
      <c r="A187" s="171"/>
      <c r="B187" s="143"/>
      <c r="C187" s="143"/>
      <c r="D187" s="143"/>
      <c r="E187" s="144"/>
      <c r="F187" s="264"/>
      <c r="G187" s="264"/>
      <c r="H187" s="143"/>
      <c r="I187" s="171"/>
      <c r="J187" s="171"/>
    </row>
    <row r="188" spans="1:10" s="16" customFormat="1" ht="20.100000000000001" customHeight="1">
      <c r="A188" s="171"/>
      <c r="B188" s="143"/>
      <c r="C188" s="143"/>
      <c r="D188" s="143"/>
      <c r="E188" s="160" t="s">
        <v>248</v>
      </c>
      <c r="F188" s="264"/>
      <c r="G188" s="264"/>
      <c r="H188" s="143"/>
      <c r="I188" s="171"/>
      <c r="J188" s="171"/>
    </row>
    <row r="189" spans="1:10" s="16" customFormat="1" ht="20.100000000000001" customHeight="1">
      <c r="A189" s="171"/>
      <c r="B189" s="143">
        <v>173</v>
      </c>
      <c r="C189" s="143" t="s">
        <v>619</v>
      </c>
      <c r="D189" s="143" t="s">
        <v>620</v>
      </c>
      <c r="E189" s="144" t="s">
        <v>621</v>
      </c>
      <c r="F189" s="264">
        <v>960000</v>
      </c>
      <c r="G189" s="264">
        <v>1530760.58</v>
      </c>
      <c r="H189" s="275">
        <f>G189-F189</f>
        <v>570760.58000000007</v>
      </c>
      <c r="I189" s="171"/>
      <c r="J189" s="171"/>
    </row>
    <row r="190" spans="1:10" s="16" customFormat="1" ht="20.100000000000001" customHeight="1">
      <c r="A190" s="171"/>
      <c r="B190" s="143">
        <v>174</v>
      </c>
      <c r="C190" s="143" t="s">
        <v>622</v>
      </c>
      <c r="D190" s="143" t="s">
        <v>623</v>
      </c>
      <c r="E190" s="144" t="s">
        <v>624</v>
      </c>
      <c r="F190" s="264">
        <v>120000</v>
      </c>
      <c r="G190" s="264">
        <v>510253.53</v>
      </c>
      <c r="H190" s="275">
        <f>G190-F190</f>
        <v>390253.53</v>
      </c>
      <c r="I190" s="171"/>
      <c r="J190" s="171"/>
    </row>
    <row r="191" spans="1:10" s="16" customFormat="1" ht="20.100000000000001" customHeight="1">
      <c r="A191" s="171"/>
      <c r="B191" s="143"/>
      <c r="C191" s="143"/>
      <c r="D191" s="143"/>
      <c r="E191" s="160" t="s">
        <v>250</v>
      </c>
      <c r="F191" s="266">
        <f>SUM(F189:F190)</f>
        <v>1080000</v>
      </c>
      <c r="G191" s="266">
        <f>SUM(G189:G190)</f>
        <v>2041014.11</v>
      </c>
      <c r="H191" s="266">
        <f>SUM(H189:H190)</f>
        <v>961014.1100000001</v>
      </c>
      <c r="I191" s="171"/>
      <c r="J191" s="171"/>
    </row>
    <row r="192" spans="1:10" s="16" customFormat="1" ht="20.100000000000001" customHeight="1">
      <c r="A192" s="171"/>
      <c r="B192" s="143"/>
      <c r="C192" s="143"/>
      <c r="D192" s="143"/>
      <c r="E192" s="144"/>
      <c r="F192" s="264"/>
      <c r="G192" s="264"/>
      <c r="H192" s="143"/>
      <c r="I192" s="171"/>
      <c r="J192" s="171"/>
    </row>
    <row r="193" spans="1:10" s="16" customFormat="1" ht="20.100000000000001" customHeight="1">
      <c r="A193" s="171"/>
      <c r="B193" s="143"/>
      <c r="C193" s="143"/>
      <c r="D193" s="143"/>
      <c r="E193" s="160" t="s">
        <v>243</v>
      </c>
      <c r="F193" s="264"/>
      <c r="G193" s="264"/>
      <c r="H193" s="143"/>
      <c r="I193" s="171"/>
      <c r="J193" s="171"/>
    </row>
    <row r="194" spans="1:10" s="16" customFormat="1" ht="20.100000000000001" customHeight="1">
      <c r="A194" s="171"/>
      <c r="B194" s="143">
        <v>175</v>
      </c>
      <c r="C194" s="143" t="s">
        <v>244</v>
      </c>
      <c r="D194" s="143" t="s">
        <v>245</v>
      </c>
      <c r="E194" s="144" t="s">
        <v>246</v>
      </c>
      <c r="F194" s="264">
        <v>5860000</v>
      </c>
      <c r="G194" s="264">
        <v>7205070.5099999998</v>
      </c>
      <c r="H194" s="275">
        <f>G194-F194</f>
        <v>1345070.5099999998</v>
      </c>
      <c r="I194" s="171"/>
      <c r="J194" s="171"/>
    </row>
    <row r="195" spans="1:10" s="16" customFormat="1" ht="20.100000000000001" customHeight="1">
      <c r="A195" s="171"/>
      <c r="B195" s="143">
        <v>176</v>
      </c>
      <c r="C195" s="143" t="s">
        <v>625</v>
      </c>
      <c r="D195" s="143"/>
      <c r="E195" s="144" t="s">
        <v>626</v>
      </c>
      <c r="F195" s="264">
        <v>0</v>
      </c>
      <c r="G195" s="264">
        <v>10813765.73</v>
      </c>
      <c r="H195" s="275">
        <f t="shared" ref="H195:H198" si="4">G195-F195</f>
        <v>10813765.73</v>
      </c>
      <c r="I195" s="171"/>
      <c r="J195" s="171"/>
    </row>
    <row r="196" spans="1:10" s="16" customFormat="1" ht="20.100000000000001" customHeight="1">
      <c r="A196" s="171"/>
      <c r="B196" s="143">
        <v>177</v>
      </c>
      <c r="C196" s="143" t="s">
        <v>625</v>
      </c>
      <c r="D196" s="143" t="s">
        <v>627</v>
      </c>
      <c r="E196" s="144" t="s">
        <v>628</v>
      </c>
      <c r="F196" s="264">
        <v>1650500</v>
      </c>
      <c r="G196" s="264">
        <v>5200000</v>
      </c>
      <c r="H196" s="275">
        <f t="shared" si="4"/>
        <v>3549500</v>
      </c>
      <c r="I196" s="171"/>
      <c r="J196" s="171"/>
    </row>
    <row r="197" spans="1:10" s="16" customFormat="1" ht="20.100000000000001" customHeight="1">
      <c r="A197" s="171"/>
      <c r="B197" s="143">
        <v>178</v>
      </c>
      <c r="C197" s="274" t="s">
        <v>1986</v>
      </c>
      <c r="D197" s="143" t="s">
        <v>1489</v>
      </c>
      <c r="E197" s="144" t="s">
        <v>1490</v>
      </c>
      <c r="F197" s="264">
        <v>500000</v>
      </c>
      <c r="G197" s="264">
        <v>2000000</v>
      </c>
      <c r="H197" s="275">
        <f t="shared" si="4"/>
        <v>1500000</v>
      </c>
      <c r="I197" s="171"/>
      <c r="J197" s="171"/>
    </row>
    <row r="198" spans="1:10" s="16" customFormat="1" ht="20.100000000000001" customHeight="1">
      <c r="A198" s="171"/>
      <c r="B198" s="143">
        <v>179</v>
      </c>
      <c r="C198" s="274" t="s">
        <v>1987</v>
      </c>
      <c r="D198" s="143" t="s">
        <v>1518</v>
      </c>
      <c r="E198" s="144" t="s">
        <v>1519</v>
      </c>
      <c r="F198" s="264">
        <v>650000</v>
      </c>
      <c r="G198" s="264">
        <v>2500000</v>
      </c>
      <c r="H198" s="275">
        <f t="shared" si="4"/>
        <v>1850000</v>
      </c>
      <c r="I198" s="171"/>
      <c r="J198" s="171"/>
    </row>
    <row r="199" spans="1:10" s="16" customFormat="1" ht="20.100000000000001" customHeight="1">
      <c r="A199" s="171"/>
      <c r="B199" s="143"/>
      <c r="C199" s="143"/>
      <c r="D199" s="143"/>
      <c r="E199" s="160" t="s">
        <v>247</v>
      </c>
      <c r="F199" s="266">
        <f>SUM(F194:F198)</f>
        <v>8660500</v>
      </c>
      <c r="G199" s="266">
        <f>SUM(G194:G198)</f>
        <v>27718836.240000002</v>
      </c>
      <c r="H199" s="266">
        <f>SUM(H194:H197)</f>
        <v>17208336.240000002</v>
      </c>
      <c r="I199" s="171"/>
      <c r="J199" s="171"/>
    </row>
    <row r="200" spans="1:10" s="16" customFormat="1" ht="20.100000000000001" customHeight="1">
      <c r="A200" s="171"/>
      <c r="B200" s="143"/>
      <c r="C200" s="143"/>
      <c r="D200" s="143"/>
      <c r="E200" s="160"/>
      <c r="F200" s="266"/>
      <c r="G200" s="266"/>
      <c r="H200" s="266"/>
      <c r="I200" s="171"/>
      <c r="J200" s="171"/>
    </row>
    <row r="201" spans="1:10" s="16" customFormat="1" ht="20.100000000000001" customHeight="1">
      <c r="A201" s="171"/>
      <c r="B201" s="143"/>
      <c r="C201" s="143"/>
      <c r="D201" s="143"/>
      <c r="E201" s="144"/>
      <c r="F201" s="264"/>
      <c r="G201" s="264"/>
      <c r="H201" s="143"/>
      <c r="I201" s="171"/>
      <c r="J201" s="171"/>
    </row>
    <row r="202" spans="1:10" s="16" customFormat="1" ht="20.100000000000001" customHeight="1">
      <c r="A202" s="171"/>
      <c r="B202" s="143"/>
      <c r="C202" s="143"/>
      <c r="D202" s="143"/>
      <c r="E202" s="311" t="s">
        <v>629</v>
      </c>
      <c r="F202" s="264"/>
      <c r="G202" s="264"/>
      <c r="H202" s="143"/>
      <c r="I202" s="171"/>
      <c r="J202" s="171"/>
    </row>
    <row r="203" spans="1:10" s="16" customFormat="1" ht="20.100000000000001" customHeight="1">
      <c r="A203" s="171"/>
      <c r="B203" s="143"/>
      <c r="C203" s="143"/>
      <c r="D203" s="143"/>
      <c r="E203" s="311" t="s">
        <v>90</v>
      </c>
      <c r="F203" s="266">
        <f>F74</f>
        <v>2132381099.3999999</v>
      </c>
      <c r="G203" s="266">
        <f>G74</f>
        <v>2765574135.7500005</v>
      </c>
      <c r="H203" s="266">
        <f>H74</f>
        <v>633193036.35000002</v>
      </c>
      <c r="I203" s="171"/>
      <c r="J203" s="171"/>
    </row>
    <row r="204" spans="1:10" s="16" customFormat="1" ht="20.100000000000001" customHeight="1">
      <c r="A204" s="171"/>
      <c r="B204" s="143"/>
      <c r="C204" s="143"/>
      <c r="D204" s="143"/>
      <c r="E204" s="311" t="s">
        <v>161</v>
      </c>
      <c r="F204" s="266">
        <f>F148</f>
        <v>371125749.63</v>
      </c>
      <c r="G204" s="266">
        <f>G148</f>
        <v>618068788.93999994</v>
      </c>
      <c r="H204" s="266">
        <f>H148</f>
        <v>246943039.30999997</v>
      </c>
      <c r="I204" s="171"/>
      <c r="J204" s="171"/>
    </row>
    <row r="205" spans="1:10" s="16" customFormat="1" ht="20.100000000000001" customHeight="1">
      <c r="A205" s="171"/>
      <c r="B205" s="143"/>
      <c r="C205" s="143"/>
      <c r="D205" s="143"/>
      <c r="E205" s="311" t="s">
        <v>249</v>
      </c>
      <c r="F205" s="266">
        <f>F186</f>
        <v>102208950.75</v>
      </c>
      <c r="G205" s="266">
        <f>G186</f>
        <v>195340106.86000001</v>
      </c>
      <c r="H205" s="266">
        <f>H186</f>
        <v>93131156.110000029</v>
      </c>
      <c r="I205" s="171"/>
      <c r="J205" s="171"/>
    </row>
    <row r="206" spans="1:10" s="16" customFormat="1" ht="20.100000000000001" customHeight="1">
      <c r="A206" s="171"/>
      <c r="B206" s="143"/>
      <c r="C206" s="143"/>
      <c r="D206" s="143"/>
      <c r="E206" s="160" t="s">
        <v>248</v>
      </c>
      <c r="F206" s="266">
        <f>F191</f>
        <v>1080000</v>
      </c>
      <c r="G206" s="266">
        <f>G191</f>
        <v>2041014.11</v>
      </c>
      <c r="H206" s="266">
        <f>H191</f>
        <v>961014.1100000001</v>
      </c>
      <c r="I206" s="171"/>
      <c r="J206" s="171"/>
    </row>
    <row r="207" spans="1:10" s="16" customFormat="1" ht="20.100000000000001" customHeight="1">
      <c r="A207" s="171"/>
      <c r="B207" s="143"/>
      <c r="C207" s="143"/>
      <c r="D207" s="143"/>
      <c r="E207" s="160" t="s">
        <v>243</v>
      </c>
      <c r="F207" s="266">
        <f>F199</f>
        <v>8660500</v>
      </c>
      <c r="G207" s="266">
        <f>G199</f>
        <v>27718836.240000002</v>
      </c>
      <c r="H207" s="266">
        <f>H199</f>
        <v>17208336.240000002</v>
      </c>
      <c r="I207" s="171"/>
      <c r="J207" s="171"/>
    </row>
    <row r="208" spans="1:10" s="16" customFormat="1" ht="20.100000000000001" customHeight="1">
      <c r="A208" s="171"/>
      <c r="B208" s="143"/>
      <c r="C208" s="143"/>
      <c r="D208" s="143"/>
      <c r="E208" s="311" t="s">
        <v>65</v>
      </c>
      <c r="F208" s="266">
        <f>SUM(F203:F207)</f>
        <v>2615456299.7799997</v>
      </c>
      <c r="G208" s="266">
        <f>SUM(G203:G207)</f>
        <v>3608742881.9000006</v>
      </c>
      <c r="H208" s="266">
        <f>SUM(H203:H207)</f>
        <v>991436582.12</v>
      </c>
      <c r="I208" s="171"/>
      <c r="J208" s="171"/>
    </row>
    <row r="209" ht="24.95" customHeight="1"/>
    <row r="210" ht="24.95" customHeight="1"/>
    <row r="211" ht="24.95" customHeight="1"/>
    <row r="212" ht="24.95" customHeight="1"/>
    <row r="213" ht="24.95" customHeight="1"/>
    <row r="214" ht="24.95" customHeight="1"/>
    <row r="215" ht="24.95" customHeight="1"/>
    <row r="216" ht="24.95" customHeight="1"/>
    <row r="217" ht="24.95" customHeight="1"/>
    <row r="218" ht="24.95" customHeight="1"/>
    <row r="219" ht="24.95" customHeight="1"/>
    <row r="220" ht="24.95" customHeight="1"/>
    <row r="221" ht="24.95" customHeight="1"/>
    <row r="222" ht="24.95" customHeight="1"/>
    <row r="223" ht="24.95" customHeight="1"/>
    <row r="224" ht="24.95" customHeight="1"/>
    <row r="225" ht="24.95" customHeight="1"/>
    <row r="226" ht="24.95" customHeight="1"/>
    <row r="227" ht="24.95" customHeight="1"/>
    <row r="228" ht="24.95" customHeight="1"/>
    <row r="229" ht="24.95" customHeight="1"/>
    <row r="230" ht="24.95" customHeight="1"/>
    <row r="231" ht="24.95" customHeight="1"/>
    <row r="232" ht="24.95" customHeight="1"/>
    <row r="233" ht="24.95" customHeight="1"/>
    <row r="234" ht="24.95" customHeight="1"/>
    <row r="235" ht="24.95" customHeight="1"/>
    <row r="236" ht="24.95" customHeight="1"/>
    <row r="237" ht="24.95" customHeight="1"/>
    <row r="238" ht="24.95" customHeight="1"/>
    <row r="239" ht="24.95" customHeight="1"/>
    <row r="240" ht="24.95" customHeight="1"/>
    <row r="241" ht="24.95" customHeight="1"/>
    <row r="242" ht="24.95" customHeight="1"/>
    <row r="243" ht="24.95" customHeight="1"/>
    <row r="244" ht="24.95" customHeight="1"/>
    <row r="245" ht="24.95" customHeight="1"/>
    <row r="246" ht="24.95" customHeight="1"/>
    <row r="247" ht="24.95" customHeight="1"/>
    <row r="248" ht="24.95" customHeight="1"/>
    <row r="249" ht="24.95" customHeight="1"/>
    <row r="250" ht="24.95" customHeight="1"/>
    <row r="251" ht="24.95" customHeight="1"/>
    <row r="252" ht="24.95" customHeight="1"/>
    <row r="253" ht="24.95" customHeight="1"/>
    <row r="254" ht="24.95" customHeight="1"/>
    <row r="255" ht="24.95" customHeight="1"/>
    <row r="256" ht="24.95" customHeight="1"/>
    <row r="257" ht="24.95" customHeight="1"/>
    <row r="258" ht="24.95" customHeight="1"/>
    <row r="259" ht="24.95" customHeight="1"/>
    <row r="260" ht="24.95" customHeight="1"/>
    <row r="261" ht="24.95" customHeight="1"/>
    <row r="262" ht="24.95" customHeight="1"/>
    <row r="263" ht="24.95" customHeight="1"/>
    <row r="264" ht="24.95" customHeight="1"/>
    <row r="265" ht="24.95" customHeight="1"/>
    <row r="266" ht="24.95" customHeight="1"/>
    <row r="267" ht="24.95" customHeight="1"/>
    <row r="268" ht="24.95" customHeight="1"/>
    <row r="269" ht="24.95" customHeight="1"/>
    <row r="270" ht="24.95" customHeight="1"/>
    <row r="271" ht="24.95" customHeight="1"/>
    <row r="272" ht="24.95" customHeight="1"/>
    <row r="273" ht="24.95" customHeight="1"/>
    <row r="274" ht="24.95" customHeight="1"/>
    <row r="275" ht="24.95" customHeight="1"/>
    <row r="276" ht="24.95" customHeight="1"/>
    <row r="277" ht="24.95" customHeight="1"/>
  </sheetData>
  <mergeCells count="4">
    <mergeCell ref="B1:H1"/>
    <mergeCell ref="B2:H2"/>
    <mergeCell ref="B3:H3"/>
    <mergeCell ref="B4:H4"/>
  </mergeCells>
  <pageMargins left="0.5" right="0.5" top="0.75" bottom="0.5" header="0.3" footer="0.5"/>
  <pageSetup paperSize="9" firstPageNumber="65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opLeftCell="A57" zoomScale="106" zoomScaleNormal="106" workbookViewId="0">
      <selection activeCell="G73" sqref="G73"/>
    </sheetView>
  </sheetViews>
  <sheetFormatPr defaultRowHeight="15"/>
  <cols>
    <col min="1" max="1" width="2.85546875" style="142" customWidth="1"/>
    <col min="2" max="2" width="5.85546875" style="191" customWidth="1"/>
    <col min="3" max="3" width="15.28515625" style="170" customWidth="1"/>
    <col min="4" max="4" width="11" style="170" customWidth="1"/>
    <col min="5" max="5" width="41.140625" style="360" customWidth="1"/>
    <col min="6" max="7" width="18.7109375" style="377" customWidth="1"/>
    <col min="8" max="8" width="18.7109375" style="170" customWidth="1"/>
    <col min="9" max="9" width="9.140625" style="142"/>
    <col min="10" max="16384" width="9.140625" style="127"/>
  </cols>
  <sheetData>
    <row r="1" spans="1:11" ht="21.95" customHeight="1">
      <c r="B1" s="599" t="s">
        <v>0</v>
      </c>
      <c r="C1" s="599"/>
      <c r="D1" s="599"/>
      <c r="E1" s="599"/>
      <c r="F1" s="599"/>
      <c r="G1" s="599"/>
      <c r="H1" s="599"/>
      <c r="I1" s="171"/>
      <c r="J1" s="16"/>
    </row>
    <row r="2" spans="1:11" ht="21.95" customHeight="1">
      <c r="B2" s="600" t="s">
        <v>1571</v>
      </c>
      <c r="C2" s="600"/>
      <c r="D2" s="600"/>
      <c r="E2" s="600"/>
      <c r="F2" s="600"/>
      <c r="G2" s="600"/>
      <c r="H2" s="600"/>
      <c r="I2" s="171"/>
      <c r="J2" s="16"/>
    </row>
    <row r="3" spans="1:11" ht="21.95" customHeight="1">
      <c r="B3" s="600" t="s">
        <v>336</v>
      </c>
      <c r="C3" s="600"/>
      <c r="D3" s="600"/>
      <c r="E3" s="600"/>
      <c r="F3" s="600"/>
      <c r="G3" s="600"/>
      <c r="H3" s="600"/>
      <c r="I3" s="298"/>
      <c r="J3" s="128"/>
      <c r="K3" s="128"/>
    </row>
    <row r="4" spans="1:11" ht="21.95" customHeight="1">
      <c r="B4" s="599" t="s">
        <v>1937</v>
      </c>
      <c r="C4" s="599"/>
      <c r="D4" s="599"/>
      <c r="E4" s="599"/>
      <c r="F4" s="599"/>
      <c r="G4" s="599"/>
      <c r="H4" s="599"/>
      <c r="I4" s="299"/>
      <c r="J4" s="129"/>
    </row>
    <row r="5" spans="1:11" ht="12.75" customHeight="1">
      <c r="B5" s="300"/>
      <c r="C5" s="361"/>
    </row>
    <row r="6" spans="1:11" ht="20.100000000000001" customHeight="1">
      <c r="B6" s="304" t="s">
        <v>87</v>
      </c>
      <c r="C6" s="304" t="s">
        <v>88</v>
      </c>
      <c r="D6" s="304" t="s">
        <v>89</v>
      </c>
      <c r="E6" s="305" t="s">
        <v>337</v>
      </c>
      <c r="F6" s="306" t="s">
        <v>92</v>
      </c>
      <c r="G6" s="304" t="s">
        <v>91</v>
      </c>
      <c r="H6" s="304" t="s">
        <v>93</v>
      </c>
    </row>
    <row r="7" spans="1:11" ht="20.100000000000001" customHeight="1">
      <c r="B7" s="141"/>
      <c r="C7" s="141"/>
      <c r="D7" s="141"/>
      <c r="E7" s="305"/>
      <c r="F7" s="182" t="s">
        <v>1458</v>
      </c>
      <c r="G7" s="182" t="s">
        <v>1458</v>
      </c>
      <c r="H7" s="182" t="s">
        <v>1458</v>
      </c>
    </row>
    <row r="8" spans="1:11" ht="20.100000000000001" customHeight="1">
      <c r="B8" s="141"/>
      <c r="C8" s="141"/>
      <c r="D8" s="141"/>
      <c r="E8" s="311" t="s">
        <v>90</v>
      </c>
      <c r="F8" s="372"/>
      <c r="G8" s="372"/>
      <c r="H8" s="242"/>
    </row>
    <row r="9" spans="1:11" ht="20.100000000000001" customHeight="1">
      <c r="B9" s="143">
        <v>1</v>
      </c>
      <c r="C9" s="56" t="s">
        <v>143</v>
      </c>
      <c r="D9" s="31" t="s">
        <v>144</v>
      </c>
      <c r="E9" s="312" t="s">
        <v>630</v>
      </c>
      <c r="F9" s="163">
        <v>66437100</v>
      </c>
      <c r="G9" s="163">
        <v>157340000</v>
      </c>
      <c r="H9" s="162">
        <f>G9-F9</f>
        <v>90902900</v>
      </c>
    </row>
    <row r="10" spans="1:11" ht="20.100000000000001" customHeight="1">
      <c r="B10" s="143">
        <v>2</v>
      </c>
      <c r="C10" s="58" t="s">
        <v>409</v>
      </c>
      <c r="D10" s="31" t="s">
        <v>410</v>
      </c>
      <c r="E10" s="312" t="s">
        <v>631</v>
      </c>
      <c r="F10" s="163">
        <v>0</v>
      </c>
      <c r="G10" s="163">
        <v>20669483.620000001</v>
      </c>
      <c r="H10" s="162">
        <f t="shared" ref="H10:H55" si="0">G10-F10</f>
        <v>20669483.620000001</v>
      </c>
    </row>
    <row r="11" spans="1:11" s="4" customFormat="1" ht="20.100000000000001" customHeight="1">
      <c r="A11" s="204"/>
      <c r="B11" s="143">
        <v>3</v>
      </c>
      <c r="C11" s="58" t="s">
        <v>137</v>
      </c>
      <c r="D11" s="31" t="s">
        <v>138</v>
      </c>
      <c r="E11" s="316" t="s">
        <v>632</v>
      </c>
      <c r="F11" s="373">
        <v>0</v>
      </c>
      <c r="G11" s="373">
        <v>20441502.489999998</v>
      </c>
      <c r="H11" s="162">
        <f t="shared" si="0"/>
        <v>20441502.489999998</v>
      </c>
      <c r="I11" s="204"/>
    </row>
    <row r="12" spans="1:11" s="26" customFormat="1" ht="20.100000000000001" customHeight="1">
      <c r="A12" s="263"/>
      <c r="B12" s="143">
        <v>4</v>
      </c>
      <c r="C12" s="58" t="s">
        <v>338</v>
      </c>
      <c r="D12" s="31" t="s">
        <v>94</v>
      </c>
      <c r="E12" s="316" t="s">
        <v>633</v>
      </c>
      <c r="F12" s="373">
        <v>202762500</v>
      </c>
      <c r="G12" s="373">
        <v>338754232.63999999</v>
      </c>
      <c r="H12" s="162">
        <f t="shared" si="0"/>
        <v>135991732.63999999</v>
      </c>
      <c r="I12" s="263"/>
    </row>
    <row r="13" spans="1:11" s="26" customFormat="1" ht="20.100000000000001" customHeight="1">
      <c r="A13" s="263"/>
      <c r="B13" s="143">
        <v>5</v>
      </c>
      <c r="C13" s="59" t="s">
        <v>105</v>
      </c>
      <c r="D13" s="31" t="s">
        <v>106</v>
      </c>
      <c r="E13" s="316" t="s">
        <v>634</v>
      </c>
      <c r="F13" s="373">
        <f>88281314.98+348072308.87</f>
        <v>436353623.85000002</v>
      </c>
      <c r="G13" s="373">
        <v>1110389672.3499999</v>
      </c>
      <c r="H13" s="162">
        <f t="shared" si="0"/>
        <v>674036048.49999988</v>
      </c>
      <c r="I13" s="263"/>
    </row>
    <row r="14" spans="1:11" s="27" customFormat="1" ht="20.100000000000001" customHeight="1">
      <c r="A14" s="265"/>
      <c r="B14" s="143">
        <v>6</v>
      </c>
      <c r="C14" s="58" t="s">
        <v>102</v>
      </c>
      <c r="D14" s="31" t="s">
        <v>103</v>
      </c>
      <c r="E14" s="316" t="s">
        <v>635</v>
      </c>
      <c r="F14" s="373">
        <v>11500000</v>
      </c>
      <c r="G14" s="373">
        <v>20000000</v>
      </c>
      <c r="H14" s="162">
        <f t="shared" si="0"/>
        <v>8500000</v>
      </c>
      <c r="I14" s="265"/>
    </row>
    <row r="15" spans="1:11" s="27" customFormat="1" ht="20.100000000000001" customHeight="1">
      <c r="A15" s="265"/>
      <c r="B15" s="143">
        <v>7</v>
      </c>
      <c r="C15" s="59" t="s">
        <v>134</v>
      </c>
      <c r="D15" s="31" t="s">
        <v>135</v>
      </c>
      <c r="E15" s="316" t="s">
        <v>136</v>
      </c>
      <c r="F15" s="373">
        <v>25150078</v>
      </c>
      <c r="G15" s="373">
        <v>221775662.59</v>
      </c>
      <c r="H15" s="162">
        <f t="shared" si="0"/>
        <v>196625584.59</v>
      </c>
      <c r="I15" s="265"/>
    </row>
    <row r="16" spans="1:11" s="27" customFormat="1" ht="20.100000000000001" customHeight="1">
      <c r="A16" s="265"/>
      <c r="B16" s="143">
        <v>8</v>
      </c>
      <c r="C16" s="58" t="s">
        <v>146</v>
      </c>
      <c r="D16" s="31" t="s">
        <v>147</v>
      </c>
      <c r="E16" s="316" t="s">
        <v>636</v>
      </c>
      <c r="F16" s="373">
        <v>2462500</v>
      </c>
      <c r="G16" s="373">
        <v>20000000</v>
      </c>
      <c r="H16" s="162">
        <f t="shared" si="0"/>
        <v>17537500</v>
      </c>
      <c r="I16" s="265"/>
    </row>
    <row r="17" spans="1:9" s="27" customFormat="1" ht="20.100000000000001" customHeight="1">
      <c r="A17" s="265"/>
      <c r="B17" s="143">
        <v>9</v>
      </c>
      <c r="C17" s="175" t="s">
        <v>1988</v>
      </c>
      <c r="D17" s="31" t="s">
        <v>149</v>
      </c>
      <c r="E17" s="316" t="s">
        <v>637</v>
      </c>
      <c r="F17" s="373">
        <v>340000</v>
      </c>
      <c r="G17" s="373">
        <v>5000000</v>
      </c>
      <c r="H17" s="162">
        <f t="shared" si="0"/>
        <v>4660000</v>
      </c>
      <c r="I17" s="265"/>
    </row>
    <row r="18" spans="1:9" s="27" customFormat="1" ht="20.100000000000001" customHeight="1">
      <c r="A18" s="265"/>
      <c r="B18" s="143">
        <v>10</v>
      </c>
      <c r="C18" s="58" t="s">
        <v>119</v>
      </c>
      <c r="D18" s="31" t="s">
        <v>120</v>
      </c>
      <c r="E18" s="316" t="s">
        <v>638</v>
      </c>
      <c r="F18" s="373">
        <v>0</v>
      </c>
      <c r="G18" s="373">
        <v>20000000</v>
      </c>
      <c r="H18" s="162">
        <f t="shared" si="0"/>
        <v>20000000</v>
      </c>
      <c r="I18" s="265"/>
    </row>
    <row r="19" spans="1:9" s="27" customFormat="1" ht="20.100000000000001" customHeight="1">
      <c r="A19" s="265"/>
      <c r="B19" s="143">
        <v>11</v>
      </c>
      <c r="C19" s="58" t="s">
        <v>116</v>
      </c>
      <c r="D19" s="31" t="s">
        <v>117</v>
      </c>
      <c r="E19" s="316" t="s">
        <v>639</v>
      </c>
      <c r="F19" s="373">
        <v>0</v>
      </c>
      <c r="G19" s="373">
        <v>20000000</v>
      </c>
      <c r="H19" s="162">
        <f t="shared" si="0"/>
        <v>20000000</v>
      </c>
      <c r="I19" s="265"/>
    </row>
    <row r="20" spans="1:9" s="27" customFormat="1" ht="20.100000000000001" customHeight="1">
      <c r="A20" s="265"/>
      <c r="B20" s="143">
        <v>12</v>
      </c>
      <c r="C20" s="58" t="s">
        <v>151</v>
      </c>
      <c r="D20" s="31" t="s">
        <v>152</v>
      </c>
      <c r="E20" s="316" t="s">
        <v>153</v>
      </c>
      <c r="F20" s="373">
        <v>5100000</v>
      </c>
      <c r="G20" s="373">
        <v>6000000</v>
      </c>
      <c r="H20" s="162">
        <f t="shared" si="0"/>
        <v>900000</v>
      </c>
      <c r="I20" s="265"/>
    </row>
    <row r="21" spans="1:9" s="27" customFormat="1" ht="20.100000000000001" customHeight="1">
      <c r="A21" s="265"/>
      <c r="B21" s="143">
        <v>13</v>
      </c>
      <c r="C21" s="58" t="s">
        <v>383</v>
      </c>
      <c r="D21" s="31" t="s">
        <v>384</v>
      </c>
      <c r="E21" s="316" t="s">
        <v>628</v>
      </c>
      <c r="F21" s="373"/>
      <c r="G21" s="373">
        <v>10000000</v>
      </c>
      <c r="H21" s="162">
        <f t="shared" si="0"/>
        <v>10000000</v>
      </c>
      <c r="I21" s="265"/>
    </row>
    <row r="22" spans="1:9" s="27" customFormat="1" ht="20.100000000000001" customHeight="1">
      <c r="A22" s="265"/>
      <c r="B22" s="143"/>
      <c r="C22" s="31"/>
      <c r="D22" s="31"/>
      <c r="E22" s="311" t="s">
        <v>160</v>
      </c>
      <c r="F22" s="374">
        <f>SUM(F9:F21)</f>
        <v>750105801.85000002</v>
      </c>
      <c r="G22" s="374">
        <f>SUM(G9:G21)</f>
        <v>1970370553.6899998</v>
      </c>
      <c r="H22" s="162">
        <f t="shared" si="0"/>
        <v>1220264751.8399997</v>
      </c>
      <c r="I22" s="265"/>
    </row>
    <row r="23" spans="1:9" ht="20.100000000000001" customHeight="1">
      <c r="B23" s="143"/>
      <c r="C23" s="368"/>
      <c r="D23" s="368"/>
      <c r="E23" s="371" t="s">
        <v>161</v>
      </c>
      <c r="F23" s="306"/>
      <c r="G23" s="306"/>
      <c r="H23" s="162"/>
    </row>
    <row r="24" spans="1:9" ht="20.100000000000001" customHeight="1">
      <c r="B24" s="143">
        <v>14</v>
      </c>
      <c r="C24" s="368">
        <v>23600400200</v>
      </c>
      <c r="D24" s="368"/>
      <c r="E24" s="144" t="s">
        <v>640</v>
      </c>
      <c r="F24" s="346">
        <v>0</v>
      </c>
      <c r="G24" s="346">
        <v>5000000</v>
      </c>
      <c r="H24" s="162">
        <f t="shared" si="0"/>
        <v>5000000</v>
      </c>
    </row>
    <row r="25" spans="1:9" ht="20.100000000000001" customHeight="1">
      <c r="B25" s="143">
        <v>15</v>
      </c>
      <c r="C25" s="368" t="s">
        <v>174</v>
      </c>
      <c r="D25" s="368" t="s">
        <v>175</v>
      </c>
      <c r="E25" s="312" t="s">
        <v>641</v>
      </c>
      <c r="F25" s="163">
        <f>6671746304.33</f>
        <v>6671746304.3299999</v>
      </c>
      <c r="G25" s="163">
        <v>6606674892.0799999</v>
      </c>
      <c r="H25" s="162">
        <f t="shared" si="0"/>
        <v>-65071412.25</v>
      </c>
    </row>
    <row r="26" spans="1:9" ht="20.100000000000001" customHeight="1">
      <c r="B26" s="143">
        <v>16</v>
      </c>
      <c r="C26" s="143" t="s">
        <v>186</v>
      </c>
      <c r="D26" s="143" t="s">
        <v>527</v>
      </c>
      <c r="E26" s="144" t="s">
        <v>528</v>
      </c>
      <c r="F26" s="346">
        <v>0</v>
      </c>
      <c r="G26" s="346">
        <v>0</v>
      </c>
      <c r="H26" s="162">
        <f t="shared" si="0"/>
        <v>0</v>
      </c>
    </row>
    <row r="27" spans="1:9" ht="20.100000000000001" customHeight="1">
      <c r="B27" s="143">
        <v>17</v>
      </c>
      <c r="C27" s="143" t="s">
        <v>501</v>
      </c>
      <c r="D27" s="143" t="s">
        <v>502</v>
      </c>
      <c r="E27" s="144" t="s">
        <v>503</v>
      </c>
      <c r="F27" s="346">
        <v>39045000</v>
      </c>
      <c r="G27" s="346">
        <v>87092991</v>
      </c>
      <c r="H27" s="162">
        <f t="shared" si="0"/>
        <v>48047991</v>
      </c>
    </row>
    <row r="28" spans="1:9" ht="20.100000000000001" customHeight="1">
      <c r="B28" s="143">
        <v>18</v>
      </c>
      <c r="C28" s="143" t="s">
        <v>192</v>
      </c>
      <c r="D28" s="143" t="s">
        <v>193</v>
      </c>
      <c r="E28" s="144" t="s">
        <v>642</v>
      </c>
      <c r="F28" s="346">
        <v>0</v>
      </c>
      <c r="G28" s="346">
        <v>5669483.6200000001</v>
      </c>
      <c r="H28" s="162">
        <f t="shared" si="0"/>
        <v>5669483.6200000001</v>
      </c>
    </row>
    <row r="29" spans="1:9" ht="20.100000000000001" customHeight="1">
      <c r="B29" s="143">
        <v>19</v>
      </c>
      <c r="C29" s="143" t="s">
        <v>541</v>
      </c>
      <c r="D29" s="143" t="s">
        <v>643</v>
      </c>
      <c r="E29" s="144" t="s">
        <v>644</v>
      </c>
      <c r="F29" s="346">
        <v>6000000</v>
      </c>
      <c r="G29" s="346">
        <v>8656521.6400000006</v>
      </c>
      <c r="H29" s="162">
        <f t="shared" si="0"/>
        <v>2656521.6400000006</v>
      </c>
    </row>
    <row r="30" spans="1:9" ht="20.100000000000001" customHeight="1">
      <c r="B30" s="143">
        <v>20</v>
      </c>
      <c r="C30" s="143" t="s">
        <v>215</v>
      </c>
      <c r="D30" s="143" t="s">
        <v>216</v>
      </c>
      <c r="E30" s="144" t="s">
        <v>645</v>
      </c>
      <c r="F30" s="346">
        <v>53244350</v>
      </c>
      <c r="G30" s="346">
        <v>75009983.620000005</v>
      </c>
      <c r="H30" s="162">
        <f t="shared" si="0"/>
        <v>21765633.620000005</v>
      </c>
    </row>
    <row r="31" spans="1:9" ht="20.100000000000001" customHeight="1">
      <c r="B31" s="143">
        <v>21</v>
      </c>
      <c r="C31" s="143" t="s">
        <v>545</v>
      </c>
      <c r="D31" s="143" t="s">
        <v>546</v>
      </c>
      <c r="E31" s="144" t="s">
        <v>547</v>
      </c>
      <c r="F31" s="346">
        <v>19575000</v>
      </c>
      <c r="G31" s="346">
        <v>40000000</v>
      </c>
      <c r="H31" s="162">
        <f t="shared" si="0"/>
        <v>20425000</v>
      </c>
    </row>
    <row r="32" spans="1:9" ht="20.100000000000001" customHeight="1">
      <c r="B32" s="143">
        <v>22</v>
      </c>
      <c r="C32" s="143" t="s">
        <v>218</v>
      </c>
      <c r="D32" s="143" t="s">
        <v>219</v>
      </c>
      <c r="E32" s="144" t="s">
        <v>220</v>
      </c>
      <c r="F32" s="346">
        <v>0</v>
      </c>
      <c r="G32" s="346">
        <v>10000000</v>
      </c>
      <c r="H32" s="162">
        <f t="shared" si="0"/>
        <v>10000000</v>
      </c>
    </row>
    <row r="33" spans="2:8" ht="20.100000000000001" customHeight="1">
      <c r="B33" s="143">
        <v>23</v>
      </c>
      <c r="C33" s="143" t="s">
        <v>221</v>
      </c>
      <c r="D33" s="143" t="s">
        <v>222</v>
      </c>
      <c r="E33" s="144" t="s">
        <v>646</v>
      </c>
      <c r="F33" s="346">
        <v>50000000</v>
      </c>
      <c r="G33" s="346">
        <v>100000000</v>
      </c>
      <c r="H33" s="162">
        <f t="shared" si="0"/>
        <v>50000000</v>
      </c>
    </row>
    <row r="34" spans="2:8" ht="20.100000000000001" customHeight="1">
      <c r="B34" s="143">
        <v>24</v>
      </c>
      <c r="C34" s="274" t="s">
        <v>227</v>
      </c>
      <c r="D34" s="143" t="s">
        <v>647</v>
      </c>
      <c r="E34" s="144" t="s">
        <v>648</v>
      </c>
      <c r="F34" s="346">
        <v>13200000</v>
      </c>
      <c r="G34" s="346">
        <v>16600000</v>
      </c>
      <c r="H34" s="162">
        <f t="shared" si="0"/>
        <v>3400000</v>
      </c>
    </row>
    <row r="35" spans="2:8" ht="20.100000000000001" customHeight="1">
      <c r="B35" s="143"/>
      <c r="C35" s="143"/>
      <c r="D35" s="143"/>
      <c r="E35" s="160" t="s">
        <v>588</v>
      </c>
      <c r="F35" s="161">
        <f>SUM(F24:F34)</f>
        <v>6852810654.3299999</v>
      </c>
      <c r="G35" s="161">
        <f>SUM(G24:G34)</f>
        <v>6954703871.96</v>
      </c>
      <c r="H35" s="162">
        <f t="shared" si="0"/>
        <v>101893217.63000011</v>
      </c>
    </row>
    <row r="36" spans="2:8" ht="20.100000000000001" customHeight="1">
      <c r="B36" s="143"/>
      <c r="C36" s="143"/>
      <c r="D36" s="143"/>
      <c r="E36" s="160" t="s">
        <v>249</v>
      </c>
      <c r="F36" s="161"/>
      <c r="G36" s="161"/>
      <c r="H36" s="162"/>
    </row>
    <row r="37" spans="2:8" ht="20.100000000000001" customHeight="1">
      <c r="B37" s="143">
        <v>25</v>
      </c>
      <c r="C37" s="143" t="s">
        <v>260</v>
      </c>
      <c r="D37" s="143" t="s">
        <v>261</v>
      </c>
      <c r="E37" s="375" t="s">
        <v>649</v>
      </c>
      <c r="F37" s="376">
        <f>250000000+1527302387.4</f>
        <v>1777302387.4000001</v>
      </c>
      <c r="G37" s="376">
        <v>1832479846.78</v>
      </c>
      <c r="H37" s="162">
        <f t="shared" si="0"/>
        <v>55177459.379999876</v>
      </c>
    </row>
    <row r="38" spans="2:8" ht="20.100000000000001" customHeight="1">
      <c r="B38" s="143">
        <v>26</v>
      </c>
      <c r="C38" s="143" t="s">
        <v>280</v>
      </c>
      <c r="D38" s="143" t="s">
        <v>285</v>
      </c>
      <c r="E38" s="144" t="s">
        <v>650</v>
      </c>
      <c r="F38" s="346">
        <v>9123750</v>
      </c>
      <c r="G38" s="346">
        <v>60000000</v>
      </c>
      <c r="H38" s="162">
        <f t="shared" si="0"/>
        <v>50876250</v>
      </c>
    </row>
    <row r="39" spans="2:8" ht="20.100000000000001" customHeight="1">
      <c r="B39" s="143">
        <v>27</v>
      </c>
      <c r="C39" s="143" t="s">
        <v>287</v>
      </c>
      <c r="D39" s="143" t="s">
        <v>288</v>
      </c>
      <c r="E39" s="144" t="s">
        <v>289</v>
      </c>
      <c r="F39" s="346">
        <v>0</v>
      </c>
      <c r="G39" s="346">
        <v>35169483.619999997</v>
      </c>
      <c r="H39" s="162">
        <f t="shared" si="0"/>
        <v>35169483.619999997</v>
      </c>
    </row>
    <row r="40" spans="2:8" ht="20.100000000000001" customHeight="1">
      <c r="B40" s="143">
        <v>28</v>
      </c>
      <c r="C40" s="143" t="s">
        <v>299</v>
      </c>
      <c r="D40" s="143" t="s">
        <v>300</v>
      </c>
      <c r="E40" s="144" t="s">
        <v>651</v>
      </c>
      <c r="F40" s="346">
        <v>60000000</v>
      </c>
      <c r="G40" s="346">
        <v>80000000</v>
      </c>
      <c r="H40" s="162">
        <f t="shared" si="0"/>
        <v>20000000</v>
      </c>
    </row>
    <row r="41" spans="2:8" ht="20.100000000000001" customHeight="1">
      <c r="B41" s="143">
        <v>29</v>
      </c>
      <c r="C41" s="143" t="s">
        <v>293</v>
      </c>
      <c r="D41" s="143" t="s">
        <v>294</v>
      </c>
      <c r="E41" s="144" t="s">
        <v>652</v>
      </c>
      <c r="F41" s="346">
        <f>226381145+850000</f>
        <v>227231145</v>
      </c>
      <c r="G41" s="346">
        <v>353577500</v>
      </c>
      <c r="H41" s="162">
        <f t="shared" si="0"/>
        <v>126346355</v>
      </c>
    </row>
    <row r="42" spans="2:8" ht="20.100000000000001" customHeight="1">
      <c r="B42" s="143">
        <v>30</v>
      </c>
      <c r="C42" s="143" t="s">
        <v>311</v>
      </c>
      <c r="D42" s="143" t="s">
        <v>312</v>
      </c>
      <c r="E42" s="144" t="s">
        <v>653</v>
      </c>
      <c r="F42" s="346">
        <v>19050000</v>
      </c>
      <c r="G42" s="346">
        <v>25000000</v>
      </c>
      <c r="H42" s="162">
        <f t="shared" si="0"/>
        <v>5950000</v>
      </c>
    </row>
    <row r="43" spans="2:8" ht="20.100000000000001" customHeight="1">
      <c r="B43" s="143">
        <v>31</v>
      </c>
      <c r="C43" s="143" t="s">
        <v>317</v>
      </c>
      <c r="D43" s="143" t="s">
        <v>318</v>
      </c>
      <c r="E43" s="144" t="s">
        <v>654</v>
      </c>
      <c r="F43" s="346">
        <v>115945500</v>
      </c>
      <c r="G43" s="346">
        <v>119556000</v>
      </c>
      <c r="H43" s="162">
        <f t="shared" si="0"/>
        <v>3610500</v>
      </c>
    </row>
    <row r="44" spans="2:8" ht="20.100000000000001" customHeight="1">
      <c r="B44" s="143">
        <v>32</v>
      </c>
      <c r="C44" s="143" t="s">
        <v>251</v>
      </c>
      <c r="D44" s="143" t="s">
        <v>252</v>
      </c>
      <c r="E44" s="144" t="s">
        <v>655</v>
      </c>
      <c r="F44" s="346">
        <v>55932125</v>
      </c>
      <c r="G44" s="346">
        <v>130789000</v>
      </c>
      <c r="H44" s="162">
        <f t="shared" si="0"/>
        <v>74856875</v>
      </c>
    </row>
    <row r="45" spans="2:8" ht="20.100000000000001" customHeight="1">
      <c r="B45" s="143">
        <v>33</v>
      </c>
      <c r="C45" s="143" t="s">
        <v>589</v>
      </c>
      <c r="D45" s="143" t="s">
        <v>590</v>
      </c>
      <c r="E45" s="144" t="s">
        <v>592</v>
      </c>
      <c r="F45" s="346">
        <v>4200000</v>
      </c>
      <c r="G45" s="346">
        <v>12699100</v>
      </c>
      <c r="H45" s="162">
        <f t="shared" si="0"/>
        <v>8499100</v>
      </c>
    </row>
    <row r="46" spans="2:8" ht="20.100000000000001" customHeight="1">
      <c r="B46" s="143">
        <v>34</v>
      </c>
      <c r="C46" s="143" t="s">
        <v>323</v>
      </c>
      <c r="D46" s="143" t="s">
        <v>321</v>
      </c>
      <c r="E46" s="144" t="s">
        <v>656</v>
      </c>
      <c r="F46" s="346">
        <v>3000000</v>
      </c>
      <c r="G46" s="346">
        <v>19691050.5</v>
      </c>
      <c r="H46" s="162">
        <f t="shared" si="0"/>
        <v>16691050.5</v>
      </c>
    </row>
    <row r="47" spans="2:8" ht="20.100000000000001" customHeight="1">
      <c r="B47" s="143">
        <v>35</v>
      </c>
      <c r="C47" s="143" t="s">
        <v>271</v>
      </c>
      <c r="D47" s="143" t="s">
        <v>272</v>
      </c>
      <c r="E47" s="144" t="s">
        <v>657</v>
      </c>
      <c r="F47" s="346">
        <v>0</v>
      </c>
      <c r="G47" s="346">
        <v>2000000</v>
      </c>
      <c r="H47" s="162">
        <f t="shared" si="0"/>
        <v>2000000</v>
      </c>
    </row>
    <row r="48" spans="2:8" ht="20.100000000000001" customHeight="1">
      <c r="B48" s="143"/>
      <c r="C48" s="143"/>
      <c r="D48" s="143"/>
      <c r="E48" s="160" t="s">
        <v>327</v>
      </c>
      <c r="F48" s="161">
        <f>SUM(F37:F47)</f>
        <v>2271784907.4000001</v>
      </c>
      <c r="G48" s="161">
        <f>SUM(G37:G47)</f>
        <v>2670961980.8999996</v>
      </c>
      <c r="H48" s="162">
        <f t="shared" si="0"/>
        <v>399177073.49999952</v>
      </c>
    </row>
    <row r="49" spans="2:8" s="142" customFormat="1" ht="20.100000000000001" customHeight="1">
      <c r="B49" s="143"/>
      <c r="C49" s="143"/>
      <c r="D49" s="143"/>
      <c r="E49" s="160"/>
      <c r="F49" s="161"/>
      <c r="G49" s="161"/>
      <c r="H49" s="162"/>
    </row>
    <row r="50" spans="2:8" s="142" customFormat="1" ht="20.100000000000001" customHeight="1">
      <c r="B50" s="143"/>
      <c r="C50" s="143"/>
      <c r="D50" s="143"/>
      <c r="E50" s="160"/>
      <c r="F50" s="161"/>
      <c r="G50" s="161"/>
      <c r="H50" s="162"/>
    </row>
    <row r="51" spans="2:8" ht="20.100000000000001" customHeight="1">
      <c r="B51" s="143"/>
      <c r="C51" s="143"/>
      <c r="D51" s="143"/>
      <c r="E51" s="160" t="s">
        <v>248</v>
      </c>
      <c r="F51" s="161"/>
      <c r="G51" s="161"/>
      <c r="H51" s="162"/>
    </row>
    <row r="52" spans="2:8" ht="20.100000000000001" customHeight="1">
      <c r="B52" s="143">
        <v>36</v>
      </c>
      <c r="C52" s="143" t="s">
        <v>619</v>
      </c>
      <c r="D52" s="143" t="s">
        <v>620</v>
      </c>
      <c r="E52" s="144" t="s">
        <v>621</v>
      </c>
      <c r="F52" s="346">
        <v>0</v>
      </c>
      <c r="G52" s="346">
        <v>0</v>
      </c>
      <c r="H52" s="162">
        <f t="shared" si="0"/>
        <v>0</v>
      </c>
    </row>
    <row r="53" spans="2:8" ht="20.100000000000001" customHeight="1">
      <c r="B53" s="143"/>
      <c r="C53" s="143"/>
      <c r="D53" s="143"/>
      <c r="E53" s="160" t="s">
        <v>250</v>
      </c>
      <c r="F53" s="161">
        <f>SUM(F52)</f>
        <v>0</v>
      </c>
      <c r="G53" s="161">
        <f>SUM(G52)</f>
        <v>0</v>
      </c>
      <c r="H53" s="162">
        <f t="shared" si="0"/>
        <v>0</v>
      </c>
    </row>
    <row r="54" spans="2:8" ht="20.100000000000001" customHeight="1">
      <c r="B54" s="143"/>
      <c r="C54" s="143"/>
      <c r="D54" s="143"/>
      <c r="E54" s="160" t="s">
        <v>243</v>
      </c>
      <c r="F54" s="161"/>
      <c r="G54" s="161"/>
      <c r="H54" s="162"/>
    </row>
    <row r="55" spans="2:8" ht="20.100000000000001" customHeight="1">
      <c r="B55" s="143">
        <v>37</v>
      </c>
      <c r="C55" s="274" t="s">
        <v>244</v>
      </c>
      <c r="D55" s="143">
        <v>433125</v>
      </c>
      <c r="E55" s="144" t="s">
        <v>658</v>
      </c>
      <c r="F55" s="346">
        <v>365595500</v>
      </c>
      <c r="G55" s="346">
        <v>590423496.94000006</v>
      </c>
      <c r="H55" s="162">
        <f t="shared" si="0"/>
        <v>224827996.94000006</v>
      </c>
    </row>
    <row r="56" spans="2:8" ht="20.100000000000001" customHeight="1">
      <c r="B56" s="143"/>
      <c r="C56" s="143"/>
      <c r="D56" s="143"/>
      <c r="E56" s="311" t="s">
        <v>247</v>
      </c>
      <c r="F56" s="372">
        <f>SUM(F55)</f>
        <v>365595500</v>
      </c>
      <c r="G56" s="372">
        <f>SUM(G55)</f>
        <v>590423496.94000006</v>
      </c>
      <c r="H56" s="372">
        <f>SUM(H55)</f>
        <v>224827996.94000006</v>
      </c>
    </row>
    <row r="57" spans="2:8" ht="20.100000000000001" customHeight="1">
      <c r="B57" s="143"/>
      <c r="C57" s="143"/>
      <c r="D57" s="143"/>
      <c r="E57" s="144"/>
      <c r="F57" s="346"/>
      <c r="G57" s="346"/>
      <c r="H57" s="143"/>
    </row>
    <row r="58" spans="2:8" ht="20.100000000000001" customHeight="1">
      <c r="B58" s="143"/>
      <c r="C58" s="143"/>
      <c r="D58" s="143"/>
      <c r="E58" s="311" t="s">
        <v>629</v>
      </c>
      <c r="F58" s="372"/>
      <c r="G58" s="372"/>
      <c r="H58" s="143"/>
    </row>
    <row r="59" spans="2:8" ht="20.100000000000001" customHeight="1">
      <c r="B59" s="143"/>
      <c r="C59" s="143"/>
      <c r="D59" s="143"/>
      <c r="E59" s="311" t="s">
        <v>90</v>
      </c>
      <c r="F59" s="372">
        <f>F22</f>
        <v>750105801.85000002</v>
      </c>
      <c r="G59" s="372">
        <f>G22</f>
        <v>1970370553.6899998</v>
      </c>
      <c r="H59" s="266">
        <f>H22</f>
        <v>1220264751.8399997</v>
      </c>
    </row>
    <row r="60" spans="2:8" ht="20.100000000000001" customHeight="1">
      <c r="B60" s="143"/>
      <c r="C60" s="143"/>
      <c r="D60" s="143"/>
      <c r="E60" s="311" t="s">
        <v>161</v>
      </c>
      <c r="F60" s="372">
        <f>F35</f>
        <v>6852810654.3299999</v>
      </c>
      <c r="G60" s="372">
        <f>G35</f>
        <v>6954703871.96</v>
      </c>
      <c r="H60" s="266">
        <f>H35</f>
        <v>101893217.63000011</v>
      </c>
    </row>
    <row r="61" spans="2:8" ht="20.100000000000001" customHeight="1">
      <c r="B61" s="143"/>
      <c r="C61" s="143"/>
      <c r="D61" s="143"/>
      <c r="E61" s="311" t="s">
        <v>249</v>
      </c>
      <c r="F61" s="372">
        <f>F48</f>
        <v>2271784907.4000001</v>
      </c>
      <c r="G61" s="372">
        <f>G48</f>
        <v>2670961980.8999996</v>
      </c>
      <c r="H61" s="266">
        <f>H48</f>
        <v>399177073.49999952</v>
      </c>
    </row>
    <row r="62" spans="2:8" ht="20.100000000000001" customHeight="1">
      <c r="B62" s="143"/>
      <c r="C62" s="143"/>
      <c r="D62" s="143"/>
      <c r="E62" s="160" t="s">
        <v>248</v>
      </c>
      <c r="F62" s="161">
        <f>F53</f>
        <v>0</v>
      </c>
      <c r="G62" s="161">
        <f>G53</f>
        <v>0</v>
      </c>
      <c r="H62" s="266">
        <f>H53</f>
        <v>0</v>
      </c>
    </row>
    <row r="63" spans="2:8" ht="20.100000000000001" customHeight="1">
      <c r="B63" s="143"/>
      <c r="C63" s="143"/>
      <c r="D63" s="143"/>
      <c r="E63" s="160" t="s">
        <v>243</v>
      </c>
      <c r="F63" s="161">
        <f>F56</f>
        <v>365595500</v>
      </c>
      <c r="G63" s="161">
        <f>G56</f>
        <v>590423496.94000006</v>
      </c>
      <c r="H63" s="266">
        <f>H56</f>
        <v>224827996.94000006</v>
      </c>
    </row>
    <row r="64" spans="2:8" ht="20.100000000000001" customHeight="1">
      <c r="B64" s="143"/>
      <c r="C64" s="143"/>
      <c r="D64" s="143"/>
      <c r="E64" s="311" t="s">
        <v>65</v>
      </c>
      <c r="F64" s="372">
        <f>SUM(F59:F63)</f>
        <v>10240296863.58</v>
      </c>
      <c r="G64" s="372">
        <f>SUM(G59:G63)</f>
        <v>12186459903.49</v>
      </c>
      <c r="H64" s="372">
        <f>SUM(H59:H63)</f>
        <v>1946163039.9099994</v>
      </c>
    </row>
    <row r="65" spans="2:8" ht="20.100000000000001" customHeight="1">
      <c r="E65" s="396"/>
    </row>
    <row r="66" spans="2:8" ht="20.100000000000001" customHeight="1">
      <c r="B66" s="185"/>
      <c r="C66" s="143"/>
      <c r="D66" s="143"/>
      <c r="E66" s="371" t="s">
        <v>1646</v>
      </c>
      <c r="F66" s="346"/>
      <c r="G66" s="346"/>
      <c r="H66" s="143"/>
    </row>
    <row r="67" spans="2:8" ht="20.100000000000001" customHeight="1">
      <c r="B67" s="185"/>
      <c r="C67" s="143"/>
      <c r="D67" s="143"/>
      <c r="E67" s="378" t="s">
        <v>880</v>
      </c>
      <c r="F67" s="346">
        <v>401317661</v>
      </c>
      <c r="G67" s="346"/>
      <c r="H67" s="143"/>
    </row>
    <row r="68" spans="2:8" ht="20.100000000000001" customHeight="1">
      <c r="B68" s="185"/>
      <c r="C68" s="143"/>
      <c r="D68" s="143"/>
      <c r="E68" s="378" t="s">
        <v>595</v>
      </c>
      <c r="F68" s="346">
        <v>115291299.17</v>
      </c>
      <c r="G68" s="346"/>
      <c r="H68" s="143"/>
    </row>
    <row r="69" spans="2:8" ht="20.100000000000001" customHeight="1">
      <c r="B69" s="185"/>
      <c r="C69" s="143"/>
      <c r="D69" s="143"/>
      <c r="E69" s="378" t="s">
        <v>974</v>
      </c>
      <c r="F69" s="346">
        <v>1570730284.04</v>
      </c>
      <c r="G69" s="346"/>
      <c r="H69" s="143"/>
    </row>
    <row r="70" spans="2:8" ht="20.100000000000001" customHeight="1">
      <c r="B70" s="185"/>
      <c r="C70" s="143"/>
      <c r="D70" s="143"/>
      <c r="E70" s="378" t="s">
        <v>1645</v>
      </c>
      <c r="F70" s="346">
        <v>28417990.93</v>
      </c>
      <c r="G70" s="346"/>
      <c r="H70" s="143"/>
    </row>
    <row r="71" spans="2:8" ht="20.100000000000001" customHeight="1">
      <c r="B71" s="154"/>
      <c r="C71" s="141"/>
      <c r="D71" s="141"/>
      <c r="E71" s="311" t="s">
        <v>65</v>
      </c>
      <c r="F71" s="372">
        <f>SUM(F67:F70)</f>
        <v>2115757235.1400001</v>
      </c>
      <c r="G71" s="372"/>
      <c r="H71" s="141"/>
    </row>
    <row r="72" spans="2:8" ht="20.100000000000001" customHeight="1">
      <c r="B72" s="185"/>
      <c r="C72" s="143"/>
      <c r="D72" s="143"/>
      <c r="E72" s="144"/>
      <c r="F72" s="346"/>
      <c r="G72" s="346"/>
      <c r="H72" s="143"/>
    </row>
    <row r="73" spans="2:8" ht="20.100000000000001" customHeight="1">
      <c r="B73" s="154"/>
      <c r="C73" s="141"/>
      <c r="D73" s="141"/>
      <c r="E73" s="311" t="s">
        <v>335</v>
      </c>
      <c r="F73" s="372">
        <f>F71+F64</f>
        <v>12356054098.719999</v>
      </c>
      <c r="G73" s="372"/>
      <c r="H73" s="141"/>
    </row>
  </sheetData>
  <mergeCells count="4">
    <mergeCell ref="B1:H1"/>
    <mergeCell ref="B2:H2"/>
    <mergeCell ref="B3:H3"/>
    <mergeCell ref="B4:H4"/>
  </mergeCells>
  <pageMargins left="0.5" right="0.5" top="0.75" bottom="0.5" header="0.3" footer="0.5"/>
  <pageSetup paperSize="9" firstPageNumber="74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opLeftCell="A9" zoomScale="106" zoomScaleNormal="106" workbookViewId="0">
      <selection activeCell="A18" sqref="A18:XFD18"/>
    </sheetView>
  </sheetViews>
  <sheetFormatPr defaultRowHeight="15"/>
  <cols>
    <col min="1" max="1" width="2.85546875" style="142" customWidth="1"/>
    <col min="2" max="2" width="5.85546875" style="142" customWidth="1"/>
    <col min="3" max="3" width="15.5703125" style="170" customWidth="1"/>
    <col min="4" max="4" width="9.7109375" style="170" customWidth="1"/>
    <col min="5" max="5" width="38.42578125" style="360" customWidth="1"/>
    <col min="6" max="8" width="20.7109375" style="170" customWidth="1"/>
    <col min="9" max="9" width="17.7109375" style="171" hidden="1" customWidth="1"/>
    <col min="10" max="10" width="18.7109375" style="200" customWidth="1"/>
    <col min="11" max="16384" width="9.140625" style="127"/>
  </cols>
  <sheetData>
    <row r="1" spans="1:11" ht="21.95" customHeight="1">
      <c r="B1" s="599" t="s">
        <v>0</v>
      </c>
      <c r="C1" s="599"/>
      <c r="D1" s="599"/>
      <c r="E1" s="599"/>
      <c r="F1" s="599"/>
      <c r="G1" s="599"/>
      <c r="H1" s="599"/>
      <c r="J1" s="171"/>
    </row>
    <row r="2" spans="1:11" ht="21.95" customHeight="1">
      <c r="B2" s="600" t="s">
        <v>1571</v>
      </c>
      <c r="C2" s="600"/>
      <c r="D2" s="600"/>
      <c r="E2" s="600"/>
      <c r="F2" s="600"/>
      <c r="G2" s="600"/>
      <c r="H2" s="600"/>
      <c r="J2" s="171"/>
    </row>
    <row r="3" spans="1:11" ht="21.95" customHeight="1">
      <c r="B3" s="600" t="s">
        <v>336</v>
      </c>
      <c r="C3" s="600"/>
      <c r="D3" s="600"/>
      <c r="E3" s="600"/>
      <c r="F3" s="600"/>
      <c r="G3" s="600"/>
      <c r="H3" s="600"/>
      <c r="I3" s="298"/>
      <c r="J3" s="298"/>
      <c r="K3" s="128"/>
    </row>
    <row r="4" spans="1:11" ht="21.95" customHeight="1">
      <c r="B4" s="613" t="s">
        <v>1938</v>
      </c>
      <c r="C4" s="613"/>
      <c r="D4" s="613"/>
      <c r="E4" s="613"/>
      <c r="F4" s="613"/>
      <c r="G4" s="613"/>
      <c r="H4" s="613"/>
      <c r="I4" s="299"/>
      <c r="J4" s="299"/>
      <c r="K4" s="129"/>
    </row>
    <row r="5" spans="1:11" ht="12.75" customHeight="1">
      <c r="B5" s="169"/>
      <c r="C5" s="361"/>
    </row>
    <row r="6" spans="1:11" ht="24.95" customHeight="1">
      <c r="B6" s="305" t="s">
        <v>87</v>
      </c>
      <c r="C6" s="304" t="s">
        <v>88</v>
      </c>
      <c r="D6" s="304" t="s">
        <v>89</v>
      </c>
      <c r="E6" s="305" t="s">
        <v>685</v>
      </c>
      <c r="F6" s="304" t="s">
        <v>92</v>
      </c>
      <c r="G6" s="304" t="s">
        <v>91</v>
      </c>
      <c r="H6" s="304" t="s">
        <v>93</v>
      </c>
      <c r="I6" s="179" t="s">
        <v>92</v>
      </c>
    </row>
    <row r="7" spans="1:11" ht="24.95" customHeight="1">
      <c r="B7" s="242"/>
      <c r="C7" s="141"/>
      <c r="D7" s="141"/>
      <c r="E7" s="305"/>
      <c r="F7" s="182" t="s">
        <v>1458</v>
      </c>
      <c r="G7" s="182" t="s">
        <v>1458</v>
      </c>
      <c r="H7" s="182" t="s">
        <v>1458</v>
      </c>
      <c r="I7" s="182" t="s">
        <v>3</v>
      </c>
    </row>
    <row r="8" spans="1:11" ht="24.95" customHeight="1">
      <c r="B8" s="143">
        <v>1</v>
      </c>
      <c r="C8" s="143" t="s">
        <v>412</v>
      </c>
      <c r="D8" s="143" t="s">
        <v>413</v>
      </c>
      <c r="E8" s="349" t="s">
        <v>414</v>
      </c>
      <c r="F8" s="331">
        <v>5280000</v>
      </c>
      <c r="G8" s="331">
        <v>11699924.35</v>
      </c>
      <c r="H8" s="331">
        <f>G8-F8</f>
        <v>6419924.3499999996</v>
      </c>
      <c r="I8" s="379">
        <v>4000000</v>
      </c>
    </row>
    <row r="9" spans="1:11" s="4" customFormat="1" ht="24.95" customHeight="1">
      <c r="A9" s="204"/>
      <c r="B9" s="143">
        <v>2</v>
      </c>
      <c r="C9" s="58" t="s">
        <v>659</v>
      </c>
      <c r="D9" s="31" t="s">
        <v>660</v>
      </c>
      <c r="E9" s="350" t="s">
        <v>661</v>
      </c>
      <c r="F9" s="331">
        <v>7583329</v>
      </c>
      <c r="G9" s="331">
        <v>8164056.1100000003</v>
      </c>
      <c r="H9" s="331">
        <f t="shared" ref="H9:H18" si="0">G9-F9</f>
        <v>580727.11000000034</v>
      </c>
      <c r="I9" s="379">
        <v>6999996</v>
      </c>
      <c r="J9" s="206"/>
    </row>
    <row r="10" spans="1:11" s="26" customFormat="1" ht="24.95" customHeight="1">
      <c r="A10" s="263"/>
      <c r="B10" s="143">
        <v>3</v>
      </c>
      <c r="C10" s="58" t="s">
        <v>662</v>
      </c>
      <c r="D10" s="31" t="s">
        <v>663</v>
      </c>
      <c r="E10" s="350" t="s">
        <v>664</v>
      </c>
      <c r="F10" s="331">
        <v>2100000</v>
      </c>
      <c r="G10" s="331">
        <v>2700000</v>
      </c>
      <c r="H10" s="331">
        <f t="shared" si="0"/>
        <v>600000</v>
      </c>
      <c r="I10" s="379">
        <v>1800000</v>
      </c>
      <c r="J10" s="380"/>
    </row>
    <row r="11" spans="1:11" s="26" customFormat="1" ht="24.95" customHeight="1">
      <c r="A11" s="263"/>
      <c r="B11" s="143">
        <v>4</v>
      </c>
      <c r="C11" s="59" t="s">
        <v>665</v>
      </c>
      <c r="D11" s="31" t="s">
        <v>666</v>
      </c>
      <c r="E11" s="350" t="s">
        <v>667</v>
      </c>
      <c r="F11" s="331">
        <v>1025319698</v>
      </c>
      <c r="G11" s="331">
        <v>1218216870.3399999</v>
      </c>
      <c r="H11" s="331">
        <f t="shared" si="0"/>
        <v>192897172.33999991</v>
      </c>
      <c r="I11" s="379">
        <v>925242552</v>
      </c>
      <c r="J11" s="380"/>
    </row>
    <row r="12" spans="1:11" s="27" customFormat="1" ht="24.95" customHeight="1">
      <c r="A12" s="265"/>
      <c r="B12" s="143">
        <v>5</v>
      </c>
      <c r="C12" s="58" t="s">
        <v>668</v>
      </c>
      <c r="D12" s="31" t="s">
        <v>669</v>
      </c>
      <c r="E12" s="350" t="s">
        <v>670</v>
      </c>
      <c r="F12" s="331">
        <v>70624658</v>
      </c>
      <c r="G12" s="331">
        <v>110937887.83</v>
      </c>
      <c r="H12" s="331">
        <f t="shared" si="0"/>
        <v>40313229.829999998</v>
      </c>
      <c r="I12" s="379">
        <v>65191992</v>
      </c>
      <c r="J12" s="138"/>
    </row>
    <row r="13" spans="1:11" s="27" customFormat="1" ht="24.95" customHeight="1">
      <c r="A13" s="265"/>
      <c r="B13" s="143">
        <v>6</v>
      </c>
      <c r="C13" s="59" t="s">
        <v>671</v>
      </c>
      <c r="D13" s="31" t="s">
        <v>672</v>
      </c>
      <c r="E13" s="350" t="s">
        <v>673</v>
      </c>
      <c r="F13" s="331">
        <f>2110423656+634279344</f>
        <v>2744703000</v>
      </c>
      <c r="G13" s="331">
        <f>955657315.31+3253264634.3</f>
        <v>4208921949.6100001</v>
      </c>
      <c r="H13" s="331">
        <f t="shared" si="0"/>
        <v>1464218949.6100001</v>
      </c>
      <c r="I13" s="379">
        <v>2110423656</v>
      </c>
      <c r="J13" s="138"/>
    </row>
    <row r="14" spans="1:11" s="27" customFormat="1" ht="24.95" customHeight="1">
      <c r="A14" s="265"/>
      <c r="B14" s="143">
        <v>7</v>
      </c>
      <c r="C14" s="58" t="s">
        <v>674</v>
      </c>
      <c r="D14" s="31" t="s">
        <v>675</v>
      </c>
      <c r="E14" s="350" t="s">
        <v>676</v>
      </c>
      <c r="F14" s="331">
        <f>3120000000+4186212296</f>
        <v>7306212296</v>
      </c>
      <c r="G14" s="331">
        <f>3811125264.12+3380000000</f>
        <v>7191125264.1199999</v>
      </c>
      <c r="H14" s="331">
        <f t="shared" si="0"/>
        <v>-115087031.88000011</v>
      </c>
      <c r="I14" s="379">
        <v>3120000000</v>
      </c>
      <c r="J14" s="138"/>
    </row>
    <row r="15" spans="1:11" s="27" customFormat="1" ht="24.95" customHeight="1">
      <c r="A15" s="265"/>
      <c r="B15" s="143">
        <v>8</v>
      </c>
      <c r="C15" s="58" t="s">
        <v>677</v>
      </c>
      <c r="D15" s="31" t="s">
        <v>678</v>
      </c>
      <c r="E15" s="350" t="s">
        <v>679</v>
      </c>
      <c r="F15" s="331">
        <f>2327147111.77+603638941</f>
        <v>2930786052.77</v>
      </c>
      <c r="G15" s="331">
        <f>700000000+2500000000</f>
        <v>3200000000</v>
      </c>
      <c r="H15" s="331">
        <f t="shared" si="0"/>
        <v>269213947.23000002</v>
      </c>
      <c r="I15" s="379">
        <v>2148135795.48</v>
      </c>
      <c r="J15" s="138"/>
    </row>
    <row r="16" spans="1:11" s="27" customFormat="1" ht="24.95" customHeight="1">
      <c r="A16" s="265"/>
      <c r="B16" s="143">
        <v>9</v>
      </c>
      <c r="C16" s="58" t="s">
        <v>680</v>
      </c>
      <c r="D16" s="31" t="s">
        <v>681</v>
      </c>
      <c r="E16" s="350" t="s">
        <v>682</v>
      </c>
      <c r="F16" s="331">
        <f>266741014.02+186628280.31</f>
        <v>453369294.33000004</v>
      </c>
      <c r="G16" s="331">
        <f>200227478.69+280000000</f>
        <v>480227478.69</v>
      </c>
      <c r="H16" s="331">
        <f t="shared" si="0"/>
        <v>26858184.359999955</v>
      </c>
      <c r="I16" s="379">
        <v>246222474.47999999</v>
      </c>
      <c r="J16" s="138"/>
    </row>
    <row r="17" spans="1:10" s="27" customFormat="1" ht="24.95" customHeight="1">
      <c r="A17" s="265"/>
      <c r="B17" s="143">
        <v>10</v>
      </c>
      <c r="C17" s="58" t="s">
        <v>323</v>
      </c>
      <c r="D17" s="31" t="s">
        <v>683</v>
      </c>
      <c r="E17" s="350" t="s">
        <v>684</v>
      </c>
      <c r="F17" s="331">
        <v>49400000</v>
      </c>
      <c r="G17" s="331">
        <v>64600000</v>
      </c>
      <c r="H17" s="331">
        <f t="shared" si="0"/>
        <v>15200000</v>
      </c>
      <c r="I17" s="379">
        <v>45000000</v>
      </c>
      <c r="J17" s="138"/>
    </row>
    <row r="18" spans="1:10" s="27" customFormat="1" ht="24.95" customHeight="1">
      <c r="A18" s="265"/>
      <c r="B18" s="143">
        <v>11</v>
      </c>
      <c r="C18" s="58"/>
      <c r="D18" s="31" t="s">
        <v>2001</v>
      </c>
      <c r="E18" s="350" t="s">
        <v>857</v>
      </c>
      <c r="F18" s="331">
        <v>0</v>
      </c>
      <c r="G18" s="331">
        <v>362493516.38</v>
      </c>
      <c r="H18" s="331">
        <f t="shared" si="0"/>
        <v>362493516.38</v>
      </c>
      <c r="I18" s="379"/>
      <c r="J18" s="138"/>
    </row>
    <row r="19" spans="1:10" s="27" customFormat="1" ht="30.75" customHeight="1">
      <c r="A19" s="265"/>
      <c r="B19" s="189"/>
      <c r="C19" s="381"/>
      <c r="D19" s="381"/>
      <c r="E19" s="190" t="s">
        <v>65</v>
      </c>
      <c r="F19" s="382">
        <f>SUM(F8:F18)</f>
        <v>14595378328.1</v>
      </c>
      <c r="G19" s="382">
        <f t="shared" ref="G19:H19" si="1">SUM(G8:G18)</f>
        <v>16859086947.43</v>
      </c>
      <c r="H19" s="382">
        <f t="shared" si="1"/>
        <v>2263708619.3299999</v>
      </c>
      <c r="I19" s="382">
        <f>SUM(I8:I17)</f>
        <v>8673016465.9599991</v>
      </c>
      <c r="J19" s="138"/>
    </row>
  </sheetData>
  <mergeCells count="4">
    <mergeCell ref="B1:H1"/>
    <mergeCell ref="B2:H2"/>
    <mergeCell ref="B3:H3"/>
    <mergeCell ref="B4:H4"/>
  </mergeCells>
  <pageMargins left="0.5" right="0.5" top="0.75" bottom="0.5" header="0.3" footer="0.5"/>
  <pageSetup paperSize="9" firstPageNumber="77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9"/>
  <sheetViews>
    <sheetView zoomScale="106" zoomScaleNormal="106" workbookViewId="0">
      <selection activeCell="B5" sqref="B5"/>
    </sheetView>
  </sheetViews>
  <sheetFormatPr defaultRowHeight="15"/>
  <cols>
    <col min="1" max="1" width="2.85546875" style="142" customWidth="1"/>
    <col min="2" max="2" width="9.42578125" style="170" customWidth="1"/>
    <col min="3" max="3" width="15.7109375" style="170" customWidth="1"/>
    <col min="4" max="4" width="11.42578125" style="170" customWidth="1"/>
    <col min="5" max="5" width="37.5703125" style="360" customWidth="1"/>
    <col min="6" max="7" width="17.7109375" style="377" customWidth="1"/>
    <col min="8" max="8" width="17.7109375" style="170" customWidth="1"/>
    <col min="9" max="9" width="9.140625" style="142"/>
  </cols>
  <sheetData>
    <row r="1" spans="1:11" s="108" customFormat="1" ht="21.95" customHeight="1">
      <c r="A1" s="142"/>
      <c r="B1" s="599" t="s">
        <v>0</v>
      </c>
      <c r="C1" s="599"/>
      <c r="D1" s="599"/>
      <c r="E1" s="599"/>
      <c r="F1" s="599"/>
      <c r="G1" s="599"/>
      <c r="H1" s="599"/>
      <c r="I1" s="171"/>
      <c r="J1" s="16"/>
    </row>
    <row r="2" spans="1:11" s="108" customFormat="1" ht="21.95" customHeight="1">
      <c r="A2" s="142"/>
      <c r="B2" s="600" t="s">
        <v>1571</v>
      </c>
      <c r="C2" s="600"/>
      <c r="D2" s="600"/>
      <c r="E2" s="600"/>
      <c r="F2" s="600"/>
      <c r="G2" s="600"/>
      <c r="H2" s="600"/>
      <c r="I2" s="171"/>
      <c r="J2" s="16"/>
    </row>
    <row r="3" spans="1:11" s="108" customFormat="1" ht="21.95" customHeight="1">
      <c r="A3" s="142"/>
      <c r="B3" s="600" t="s">
        <v>336</v>
      </c>
      <c r="C3" s="600"/>
      <c r="D3" s="600"/>
      <c r="E3" s="600"/>
      <c r="F3" s="600"/>
      <c r="G3" s="600"/>
      <c r="H3" s="600"/>
      <c r="I3" s="298"/>
      <c r="J3" s="109"/>
      <c r="K3" s="109"/>
    </row>
    <row r="4" spans="1:11" s="108" customFormat="1" ht="21.95" customHeight="1">
      <c r="A4" s="142"/>
      <c r="B4" s="599" t="s">
        <v>2011</v>
      </c>
      <c r="C4" s="599"/>
      <c r="D4" s="599"/>
      <c r="E4" s="599"/>
      <c r="F4" s="599"/>
      <c r="G4" s="599"/>
      <c r="H4" s="599"/>
      <c r="I4" s="299"/>
      <c r="J4" s="110"/>
      <c r="K4" s="110"/>
    </row>
    <row r="5" spans="1:11" ht="12.75" customHeight="1">
      <c r="B5" s="361"/>
      <c r="C5" s="361"/>
    </row>
    <row r="6" spans="1:11" ht="20.100000000000001" customHeight="1">
      <c r="B6" s="304" t="s">
        <v>87</v>
      </c>
      <c r="C6" s="304" t="s">
        <v>88</v>
      </c>
      <c r="D6" s="304" t="s">
        <v>89</v>
      </c>
      <c r="E6" s="305" t="s">
        <v>337</v>
      </c>
      <c r="F6" s="304" t="s">
        <v>92</v>
      </c>
      <c r="G6" s="304" t="s">
        <v>91</v>
      </c>
      <c r="H6" s="304" t="s">
        <v>93</v>
      </c>
    </row>
    <row r="7" spans="1:11" ht="20.100000000000001" customHeight="1">
      <c r="B7" s="141"/>
      <c r="C7" s="141"/>
      <c r="D7" s="141"/>
      <c r="E7" s="305"/>
      <c r="F7" s="182" t="s">
        <v>1458</v>
      </c>
      <c r="G7" s="182" t="s">
        <v>1458</v>
      </c>
      <c r="H7" s="182" t="s">
        <v>1458</v>
      </c>
    </row>
    <row r="8" spans="1:11" ht="20.100000000000001" customHeight="1">
      <c r="B8" s="141"/>
      <c r="C8" s="141"/>
      <c r="D8" s="141"/>
      <c r="E8" s="311" t="s">
        <v>90</v>
      </c>
      <c r="F8" s="372"/>
      <c r="G8" s="372"/>
      <c r="H8" s="242"/>
    </row>
    <row r="9" spans="1:11" ht="20.100000000000001" customHeight="1">
      <c r="B9" s="143">
        <v>1</v>
      </c>
      <c r="C9" s="56" t="s">
        <v>338</v>
      </c>
      <c r="D9" s="31" t="s">
        <v>94</v>
      </c>
      <c r="E9" s="312" t="s">
        <v>1945</v>
      </c>
      <c r="F9" s="163">
        <v>166172940.36000001</v>
      </c>
      <c r="G9" s="163">
        <v>1254500000</v>
      </c>
      <c r="H9" s="13">
        <f>G9-F9</f>
        <v>1088327059.6399999</v>
      </c>
    </row>
    <row r="10" spans="1:11" ht="20.100000000000001" customHeight="1">
      <c r="B10" s="143">
        <v>2</v>
      </c>
      <c r="C10" s="58" t="s">
        <v>339</v>
      </c>
      <c r="D10" s="31" t="s">
        <v>340</v>
      </c>
      <c r="E10" s="312" t="s">
        <v>341</v>
      </c>
      <c r="F10" s="163"/>
      <c r="G10" s="163">
        <v>0</v>
      </c>
      <c r="H10" s="13">
        <f t="shared" ref="H10:H73" si="0">G10-F10</f>
        <v>0</v>
      </c>
    </row>
    <row r="11" spans="1:11" ht="20.100000000000001" customHeight="1">
      <c r="B11" s="143">
        <v>3</v>
      </c>
      <c r="C11" s="58" t="s">
        <v>96</v>
      </c>
      <c r="D11" s="31" t="s">
        <v>97</v>
      </c>
      <c r="E11" s="312" t="s">
        <v>98</v>
      </c>
      <c r="F11" s="163"/>
      <c r="G11" s="163">
        <v>30000000</v>
      </c>
      <c r="H11" s="13">
        <f t="shared" si="0"/>
        <v>30000000</v>
      </c>
    </row>
    <row r="12" spans="1:11" ht="20.100000000000001" customHeight="1">
      <c r="B12" s="143">
        <v>4</v>
      </c>
      <c r="C12" s="58" t="s">
        <v>99</v>
      </c>
      <c r="D12" s="31" t="s">
        <v>100</v>
      </c>
      <c r="E12" s="312" t="s">
        <v>101</v>
      </c>
      <c r="F12" s="163"/>
      <c r="G12" s="163">
        <v>5000000</v>
      </c>
      <c r="H12" s="13">
        <f t="shared" si="0"/>
        <v>5000000</v>
      </c>
    </row>
    <row r="13" spans="1:11" ht="20.100000000000001" customHeight="1">
      <c r="B13" s="143">
        <v>5</v>
      </c>
      <c r="C13" s="58" t="s">
        <v>102</v>
      </c>
      <c r="D13" s="31" t="s">
        <v>103</v>
      </c>
      <c r="E13" s="312" t="s">
        <v>104</v>
      </c>
      <c r="F13" s="163"/>
      <c r="G13" s="163">
        <v>15000000</v>
      </c>
      <c r="H13" s="13">
        <f t="shared" si="0"/>
        <v>15000000</v>
      </c>
    </row>
    <row r="14" spans="1:11" ht="20.100000000000001" customHeight="1">
      <c r="B14" s="143">
        <v>6</v>
      </c>
      <c r="C14" s="58" t="s">
        <v>353</v>
      </c>
      <c r="D14" s="31" t="s">
        <v>354</v>
      </c>
      <c r="E14" s="312" t="s">
        <v>355</v>
      </c>
      <c r="F14" s="163">
        <v>2000000</v>
      </c>
      <c r="G14" s="163">
        <v>11000000</v>
      </c>
      <c r="H14" s="13">
        <f t="shared" si="0"/>
        <v>9000000</v>
      </c>
    </row>
    <row r="15" spans="1:11" ht="20.100000000000001" customHeight="1">
      <c r="B15" s="143">
        <v>7</v>
      </c>
      <c r="C15" s="58" t="s">
        <v>365</v>
      </c>
      <c r="D15" s="31" t="s">
        <v>366</v>
      </c>
      <c r="E15" s="312" t="s">
        <v>799</v>
      </c>
      <c r="F15" s="163"/>
      <c r="G15" s="163">
        <v>5000000</v>
      </c>
      <c r="H15" s="13">
        <f t="shared" si="0"/>
        <v>5000000</v>
      </c>
    </row>
    <row r="16" spans="1:11" s="113" customFormat="1" ht="20.100000000000001" customHeight="1">
      <c r="A16" s="142"/>
      <c r="B16" s="143">
        <v>8</v>
      </c>
      <c r="C16" s="58">
        <v>11101300200</v>
      </c>
      <c r="D16" s="31" t="s">
        <v>106</v>
      </c>
      <c r="E16" s="316" t="s">
        <v>1509</v>
      </c>
      <c r="F16" s="373">
        <v>168965517.96000001</v>
      </c>
      <c r="G16" s="373">
        <v>300000000</v>
      </c>
      <c r="H16" s="13">
        <f t="shared" si="0"/>
        <v>131034482.03999999</v>
      </c>
      <c r="I16" s="142"/>
    </row>
    <row r="17" spans="1:9" ht="20.100000000000001" customHeight="1">
      <c r="B17" s="143">
        <v>9</v>
      </c>
      <c r="C17" s="58" t="s">
        <v>371</v>
      </c>
      <c r="D17" s="31" t="s">
        <v>372</v>
      </c>
      <c r="E17" s="316" t="s">
        <v>373</v>
      </c>
      <c r="F17" s="373"/>
      <c r="G17" s="373">
        <v>10000000</v>
      </c>
      <c r="H17" s="13">
        <f t="shared" si="0"/>
        <v>10000000</v>
      </c>
    </row>
    <row r="18" spans="1:9" s="4" customFormat="1" ht="20.100000000000001" customHeight="1">
      <c r="A18" s="204"/>
      <c r="B18" s="143">
        <v>10</v>
      </c>
      <c r="C18" s="58" t="s">
        <v>377</v>
      </c>
      <c r="D18" s="31" t="s">
        <v>378</v>
      </c>
      <c r="E18" s="316" t="s">
        <v>379</v>
      </c>
      <c r="F18" s="373"/>
      <c r="G18" s="373">
        <v>0</v>
      </c>
      <c r="H18" s="13">
        <f t="shared" si="0"/>
        <v>0</v>
      </c>
      <c r="I18" s="204"/>
    </row>
    <row r="19" spans="1:9" s="26" customFormat="1" ht="20.100000000000001" customHeight="1">
      <c r="A19" s="263"/>
      <c r="B19" s="143">
        <v>11</v>
      </c>
      <c r="C19" s="58" t="s">
        <v>113</v>
      </c>
      <c r="D19" s="31" t="s">
        <v>114</v>
      </c>
      <c r="E19" s="316" t="s">
        <v>115</v>
      </c>
      <c r="F19" s="373"/>
      <c r="G19" s="373">
        <v>50000000</v>
      </c>
      <c r="H19" s="13">
        <f t="shared" si="0"/>
        <v>50000000</v>
      </c>
      <c r="I19" s="263"/>
    </row>
    <row r="20" spans="1:9" s="26" customFormat="1" ht="20.100000000000001" customHeight="1">
      <c r="A20" s="263"/>
      <c r="B20" s="143">
        <v>12</v>
      </c>
      <c r="C20" s="58" t="s">
        <v>777</v>
      </c>
      <c r="D20" s="31" t="s">
        <v>778</v>
      </c>
      <c r="E20" s="316" t="s">
        <v>779</v>
      </c>
      <c r="F20" s="373"/>
      <c r="G20" s="373">
        <v>0</v>
      </c>
      <c r="H20" s="13">
        <f t="shared" si="0"/>
        <v>0</v>
      </c>
      <c r="I20" s="263"/>
    </row>
    <row r="21" spans="1:9" s="26" customFormat="1" ht="20.100000000000001" customHeight="1">
      <c r="A21" s="263"/>
      <c r="B21" s="143">
        <v>13</v>
      </c>
      <c r="C21" s="58" t="s">
        <v>383</v>
      </c>
      <c r="D21" s="31" t="s">
        <v>384</v>
      </c>
      <c r="E21" s="316" t="s">
        <v>385</v>
      </c>
      <c r="F21" s="373"/>
      <c r="G21" s="373">
        <v>3000000</v>
      </c>
      <c r="H21" s="13">
        <f t="shared" si="0"/>
        <v>3000000</v>
      </c>
      <c r="I21" s="263"/>
    </row>
    <row r="22" spans="1:9" s="4" customFormat="1" ht="20.100000000000001" customHeight="1">
      <c r="A22" s="204"/>
      <c r="B22" s="143">
        <v>14</v>
      </c>
      <c r="C22" s="143" t="s">
        <v>386</v>
      </c>
      <c r="D22" s="143" t="s">
        <v>387</v>
      </c>
      <c r="E22" s="144" t="s">
        <v>388</v>
      </c>
      <c r="F22" s="346"/>
      <c r="G22" s="346">
        <v>100000000</v>
      </c>
      <c r="H22" s="13">
        <f t="shared" si="0"/>
        <v>100000000</v>
      </c>
      <c r="I22" s="204"/>
    </row>
    <row r="23" spans="1:9" s="4" customFormat="1" ht="20.100000000000001" customHeight="1">
      <c r="A23" s="204"/>
      <c r="B23" s="143">
        <v>15</v>
      </c>
      <c r="C23" s="397">
        <v>11103500200</v>
      </c>
      <c r="D23" s="143" t="s">
        <v>1510</v>
      </c>
      <c r="E23" s="144" t="s">
        <v>1511</v>
      </c>
      <c r="F23" s="346"/>
      <c r="G23" s="346">
        <v>43000000</v>
      </c>
      <c r="H23" s="13">
        <f t="shared" si="0"/>
        <v>43000000</v>
      </c>
      <c r="I23" s="204"/>
    </row>
    <row r="24" spans="1:9" s="4" customFormat="1" ht="20.100000000000001" customHeight="1">
      <c r="A24" s="204"/>
      <c r="B24" s="143">
        <v>16</v>
      </c>
      <c r="C24" s="143" t="s">
        <v>116</v>
      </c>
      <c r="D24" s="143" t="s">
        <v>117</v>
      </c>
      <c r="E24" s="144" t="s">
        <v>118</v>
      </c>
      <c r="F24" s="346"/>
      <c r="G24" s="346">
        <v>2500000</v>
      </c>
      <c r="H24" s="13">
        <f t="shared" si="0"/>
        <v>2500000</v>
      </c>
      <c r="I24" s="204"/>
    </row>
    <row r="25" spans="1:9" s="4" customFormat="1" ht="20.100000000000001" customHeight="1">
      <c r="A25" s="204"/>
      <c r="B25" s="143">
        <v>17</v>
      </c>
      <c r="C25" s="143" t="s">
        <v>119</v>
      </c>
      <c r="D25" s="143" t="s">
        <v>120</v>
      </c>
      <c r="E25" s="144" t="s">
        <v>121</v>
      </c>
      <c r="F25" s="346"/>
      <c r="G25" s="346">
        <v>5000000</v>
      </c>
      <c r="H25" s="13">
        <f t="shared" si="0"/>
        <v>5000000</v>
      </c>
      <c r="I25" s="204"/>
    </row>
    <row r="26" spans="1:9" s="26" customFormat="1" ht="20.100000000000001" customHeight="1">
      <c r="A26" s="263"/>
      <c r="B26" s="143">
        <v>18</v>
      </c>
      <c r="C26" s="59" t="s">
        <v>125</v>
      </c>
      <c r="D26" s="31" t="s">
        <v>126</v>
      </c>
      <c r="E26" s="316" t="s">
        <v>1508</v>
      </c>
      <c r="F26" s="373">
        <v>319393904.49000001</v>
      </c>
      <c r="G26" s="373">
        <v>472000000</v>
      </c>
      <c r="H26" s="13">
        <f t="shared" si="0"/>
        <v>152606095.50999999</v>
      </c>
      <c r="I26" s="263"/>
    </row>
    <row r="27" spans="1:9" s="27" customFormat="1" ht="20.100000000000001" customHeight="1">
      <c r="A27" s="265"/>
      <c r="B27" s="143">
        <v>19</v>
      </c>
      <c r="C27" s="58" t="s">
        <v>128</v>
      </c>
      <c r="D27" s="31" t="s">
        <v>129</v>
      </c>
      <c r="E27" s="316" t="s">
        <v>130</v>
      </c>
      <c r="F27" s="373"/>
      <c r="G27" s="373">
        <v>315000000</v>
      </c>
      <c r="H27" s="13">
        <f t="shared" si="0"/>
        <v>315000000</v>
      </c>
      <c r="I27" s="265"/>
    </row>
    <row r="28" spans="1:9" s="27" customFormat="1" ht="20.100000000000001" customHeight="1">
      <c r="A28" s="265"/>
      <c r="B28" s="143">
        <v>20</v>
      </c>
      <c r="C28" s="58" t="s">
        <v>131</v>
      </c>
      <c r="D28" s="31" t="s">
        <v>132</v>
      </c>
      <c r="E28" s="316" t="s">
        <v>133</v>
      </c>
      <c r="F28" s="373"/>
      <c r="G28" s="373">
        <v>10000000</v>
      </c>
      <c r="H28" s="13">
        <f t="shared" si="0"/>
        <v>10000000</v>
      </c>
      <c r="I28" s="265"/>
    </row>
    <row r="29" spans="1:9" s="27" customFormat="1" ht="20.100000000000001" customHeight="1">
      <c r="A29" s="265"/>
      <c r="B29" s="143">
        <v>21</v>
      </c>
      <c r="C29" s="58" t="s">
        <v>134</v>
      </c>
      <c r="D29" s="31" t="s">
        <v>135</v>
      </c>
      <c r="E29" s="316" t="s">
        <v>136</v>
      </c>
      <c r="F29" s="373"/>
      <c r="G29" s="373">
        <v>70000000</v>
      </c>
      <c r="H29" s="13">
        <f t="shared" si="0"/>
        <v>70000000</v>
      </c>
      <c r="I29" s="265"/>
    </row>
    <row r="30" spans="1:9" s="27" customFormat="1" ht="20.100000000000001" customHeight="1">
      <c r="A30" s="265"/>
      <c r="B30" s="143">
        <v>22</v>
      </c>
      <c r="C30" s="58" t="s">
        <v>409</v>
      </c>
      <c r="D30" s="31" t="s">
        <v>410</v>
      </c>
      <c r="E30" s="316" t="s">
        <v>411</v>
      </c>
      <c r="F30" s="373"/>
      <c r="G30" s="373">
        <v>55000000</v>
      </c>
      <c r="H30" s="13">
        <f t="shared" si="0"/>
        <v>55000000</v>
      </c>
      <c r="I30" s="265"/>
    </row>
    <row r="31" spans="1:9" s="27" customFormat="1" ht="20.100000000000001" customHeight="1">
      <c r="A31" s="265"/>
      <c r="B31" s="143">
        <v>23</v>
      </c>
      <c r="C31" s="59" t="s">
        <v>137</v>
      </c>
      <c r="D31" s="31" t="s">
        <v>138</v>
      </c>
      <c r="E31" s="316" t="s">
        <v>798</v>
      </c>
      <c r="F31" s="373"/>
      <c r="G31" s="373">
        <v>252099595.00999999</v>
      </c>
      <c r="H31" s="13">
        <f t="shared" si="0"/>
        <v>252099595.00999999</v>
      </c>
      <c r="I31" s="265"/>
    </row>
    <row r="32" spans="1:9" ht="20.100000000000001" customHeight="1">
      <c r="B32" s="143">
        <v>24</v>
      </c>
      <c r="C32" s="143" t="s">
        <v>140</v>
      </c>
      <c r="D32" s="143" t="s">
        <v>141</v>
      </c>
      <c r="E32" s="144" t="s">
        <v>142</v>
      </c>
      <c r="F32" s="346"/>
      <c r="G32" s="346">
        <v>143318750</v>
      </c>
      <c r="H32" s="13">
        <f t="shared" si="0"/>
        <v>143318750</v>
      </c>
    </row>
    <row r="33" spans="1:9" ht="20.100000000000001" customHeight="1">
      <c r="B33" s="143">
        <v>25</v>
      </c>
      <c r="C33" s="143" t="s">
        <v>415</v>
      </c>
      <c r="D33" s="143" t="s">
        <v>416</v>
      </c>
      <c r="E33" s="364" t="s">
        <v>417</v>
      </c>
      <c r="F33" s="163"/>
      <c r="G33" s="163">
        <v>0</v>
      </c>
      <c r="H33" s="13">
        <f t="shared" si="0"/>
        <v>0</v>
      </c>
    </row>
    <row r="34" spans="1:9" s="27" customFormat="1" ht="20.100000000000001" customHeight="1">
      <c r="A34" s="265"/>
      <c r="B34" s="143">
        <v>26</v>
      </c>
      <c r="C34" s="58" t="s">
        <v>422</v>
      </c>
      <c r="D34" s="31" t="s">
        <v>423</v>
      </c>
      <c r="E34" s="316" t="s">
        <v>424</v>
      </c>
      <c r="F34" s="373"/>
      <c r="G34" s="373">
        <v>5000000</v>
      </c>
      <c r="H34" s="13">
        <f t="shared" si="0"/>
        <v>5000000</v>
      </c>
      <c r="I34" s="265"/>
    </row>
    <row r="35" spans="1:9" s="27" customFormat="1" ht="20.100000000000001" customHeight="1">
      <c r="A35" s="265"/>
      <c r="B35" s="143">
        <v>27</v>
      </c>
      <c r="C35" s="58" t="s">
        <v>143</v>
      </c>
      <c r="D35" s="31" t="s">
        <v>144</v>
      </c>
      <c r="E35" s="316" t="s">
        <v>145</v>
      </c>
      <c r="F35" s="373"/>
      <c r="G35" s="373">
        <v>300000000</v>
      </c>
      <c r="H35" s="13">
        <f t="shared" si="0"/>
        <v>300000000</v>
      </c>
      <c r="I35" s="265"/>
    </row>
    <row r="36" spans="1:9" s="27" customFormat="1" ht="20.100000000000001" customHeight="1">
      <c r="A36" s="265"/>
      <c r="B36" s="143">
        <v>28</v>
      </c>
      <c r="C36" s="58" t="s">
        <v>146</v>
      </c>
      <c r="D36" s="31" t="s">
        <v>147</v>
      </c>
      <c r="E36" s="316" t="s">
        <v>148</v>
      </c>
      <c r="F36" s="373"/>
      <c r="G36" s="373">
        <v>18000000</v>
      </c>
      <c r="H36" s="13">
        <f t="shared" si="0"/>
        <v>18000000</v>
      </c>
      <c r="I36" s="265"/>
    </row>
    <row r="37" spans="1:9" s="27" customFormat="1" ht="20.100000000000001" customHeight="1">
      <c r="A37" s="265"/>
      <c r="B37" s="143">
        <v>29</v>
      </c>
      <c r="C37" s="175" t="s">
        <v>448</v>
      </c>
      <c r="D37" s="31" t="s">
        <v>149</v>
      </c>
      <c r="E37" s="316" t="s">
        <v>800</v>
      </c>
      <c r="F37" s="373"/>
      <c r="G37" s="373">
        <v>15000000</v>
      </c>
      <c r="H37" s="13">
        <f t="shared" si="0"/>
        <v>15000000</v>
      </c>
      <c r="I37" s="265"/>
    </row>
    <row r="38" spans="1:9" s="27" customFormat="1" ht="20.100000000000001" customHeight="1">
      <c r="A38" s="265"/>
      <c r="B38" s="143">
        <v>30</v>
      </c>
      <c r="C38" s="58" t="s">
        <v>151</v>
      </c>
      <c r="D38" s="31" t="s">
        <v>152</v>
      </c>
      <c r="E38" s="316" t="s">
        <v>153</v>
      </c>
      <c r="F38" s="373"/>
      <c r="G38" s="373">
        <v>15000000</v>
      </c>
      <c r="H38" s="13">
        <f t="shared" si="0"/>
        <v>15000000</v>
      </c>
      <c r="I38" s="265"/>
    </row>
    <row r="39" spans="1:9" s="27" customFormat="1" ht="20.100000000000001" customHeight="1">
      <c r="A39" s="265"/>
      <c r="B39" s="143">
        <v>31</v>
      </c>
      <c r="C39" s="58" t="s">
        <v>157</v>
      </c>
      <c r="D39" s="31" t="s">
        <v>158</v>
      </c>
      <c r="E39" s="316" t="s">
        <v>159</v>
      </c>
      <c r="F39" s="373">
        <v>46000000</v>
      </c>
      <c r="G39" s="373">
        <v>200000000</v>
      </c>
      <c r="H39" s="13">
        <f t="shared" si="0"/>
        <v>154000000</v>
      </c>
      <c r="I39" s="265"/>
    </row>
    <row r="40" spans="1:9" s="27" customFormat="1" ht="20.100000000000001" customHeight="1">
      <c r="A40" s="265"/>
      <c r="B40" s="143"/>
      <c r="C40" s="58"/>
      <c r="D40" s="31"/>
      <c r="E40" s="398" t="s">
        <v>780</v>
      </c>
      <c r="F40" s="399">
        <f>SUM(F9:F39)</f>
        <v>702532362.81000006</v>
      </c>
      <c r="G40" s="293">
        <f>SUM(G9:G39)</f>
        <v>3704418345.0100002</v>
      </c>
      <c r="H40" s="13">
        <f t="shared" si="0"/>
        <v>3001885982.2000003</v>
      </c>
      <c r="I40" s="265"/>
    </row>
    <row r="41" spans="1:9" s="27" customFormat="1" ht="20.100000000000001" customHeight="1">
      <c r="A41" s="265"/>
      <c r="B41" s="143"/>
      <c r="C41" s="58"/>
      <c r="D41" s="31"/>
      <c r="E41" s="316"/>
      <c r="F41" s="373"/>
      <c r="G41" s="373"/>
      <c r="H41" s="13">
        <f t="shared" si="0"/>
        <v>0</v>
      </c>
      <c r="I41" s="265"/>
    </row>
    <row r="42" spans="1:9" s="27" customFormat="1" ht="20.100000000000001" customHeight="1">
      <c r="A42" s="265"/>
      <c r="B42" s="143"/>
      <c r="C42" s="58"/>
      <c r="D42" s="31"/>
      <c r="E42" s="398" t="s">
        <v>781</v>
      </c>
      <c r="F42" s="400"/>
      <c r="G42" s="400"/>
      <c r="H42" s="13">
        <f t="shared" si="0"/>
        <v>0</v>
      </c>
      <c r="I42" s="265"/>
    </row>
    <row r="43" spans="1:9" s="27" customFormat="1" ht="20.100000000000001" customHeight="1">
      <c r="A43" s="265"/>
      <c r="B43" s="143">
        <v>32</v>
      </c>
      <c r="C43" s="58" t="s">
        <v>162</v>
      </c>
      <c r="D43" s="31" t="s">
        <v>163</v>
      </c>
      <c r="E43" s="316" t="s">
        <v>164</v>
      </c>
      <c r="F43" s="373"/>
      <c r="G43" s="373">
        <v>453837816.87</v>
      </c>
      <c r="H43" s="13">
        <f t="shared" si="0"/>
        <v>453837816.87</v>
      </c>
      <c r="I43" s="265"/>
    </row>
    <row r="44" spans="1:9" s="27" customFormat="1" ht="20.100000000000001" customHeight="1">
      <c r="A44" s="265"/>
      <c r="B44" s="143">
        <v>33</v>
      </c>
      <c r="C44" s="58" t="s">
        <v>162</v>
      </c>
      <c r="D44" s="31" t="s">
        <v>163</v>
      </c>
      <c r="E44" s="316" t="s">
        <v>1513</v>
      </c>
      <c r="F44" s="373"/>
      <c r="G44" s="373">
        <v>0</v>
      </c>
      <c r="H44" s="13">
        <f t="shared" si="0"/>
        <v>0</v>
      </c>
      <c r="I44" s="265"/>
    </row>
    <row r="45" spans="1:9" s="27" customFormat="1" ht="20.100000000000001" customHeight="1">
      <c r="A45" s="265"/>
      <c r="B45" s="143">
        <v>34</v>
      </c>
      <c r="C45" s="58" t="s">
        <v>474</v>
      </c>
      <c r="D45" s="31" t="s">
        <v>475</v>
      </c>
      <c r="E45" s="316" t="s">
        <v>476</v>
      </c>
      <c r="F45" s="373"/>
      <c r="G45" s="373">
        <v>109327877.45</v>
      </c>
      <c r="H45" s="13">
        <f t="shared" si="0"/>
        <v>109327877.45</v>
      </c>
      <c r="I45" s="265"/>
    </row>
    <row r="46" spans="1:9" s="27" customFormat="1" ht="20.100000000000001" customHeight="1">
      <c r="A46" s="265"/>
      <c r="B46" s="143">
        <v>35</v>
      </c>
      <c r="C46" s="31" t="s">
        <v>165</v>
      </c>
      <c r="D46" s="31" t="s">
        <v>166</v>
      </c>
      <c r="E46" s="316" t="s">
        <v>167</v>
      </c>
      <c r="F46" s="373"/>
      <c r="G46" s="373">
        <v>21000000</v>
      </c>
      <c r="H46" s="13">
        <f t="shared" si="0"/>
        <v>21000000</v>
      </c>
      <c r="I46" s="265"/>
    </row>
    <row r="47" spans="1:9" s="27" customFormat="1" ht="20.100000000000001" customHeight="1">
      <c r="A47" s="265"/>
      <c r="B47" s="143">
        <v>36</v>
      </c>
      <c r="C47" s="31" t="s">
        <v>168</v>
      </c>
      <c r="D47" s="31" t="s">
        <v>169</v>
      </c>
      <c r="E47" s="316" t="s">
        <v>170</v>
      </c>
      <c r="F47" s="373"/>
      <c r="G47" s="373">
        <v>102471605.5</v>
      </c>
      <c r="H47" s="13">
        <f t="shared" si="0"/>
        <v>102471605.5</v>
      </c>
      <c r="I47" s="265"/>
    </row>
    <row r="48" spans="1:9" ht="20.100000000000001" customHeight="1">
      <c r="B48" s="143">
        <v>37</v>
      </c>
      <c r="C48" s="368" t="s">
        <v>477</v>
      </c>
      <c r="D48" s="368" t="s">
        <v>478</v>
      </c>
      <c r="E48" s="144" t="s">
        <v>479</v>
      </c>
      <c r="F48" s="346"/>
      <c r="G48" s="346">
        <v>40680140</v>
      </c>
      <c r="H48" s="13">
        <f t="shared" si="0"/>
        <v>40680140</v>
      </c>
    </row>
    <row r="49" spans="1:9" s="113" customFormat="1" ht="20.100000000000001" customHeight="1">
      <c r="A49" s="142"/>
      <c r="B49" s="143">
        <v>38</v>
      </c>
      <c r="C49" s="368" t="s">
        <v>477</v>
      </c>
      <c r="D49" s="368" t="s">
        <v>478</v>
      </c>
      <c r="E49" s="144" t="s">
        <v>1512</v>
      </c>
      <c r="F49" s="346"/>
      <c r="G49" s="346">
        <v>0</v>
      </c>
      <c r="H49" s="13">
        <f t="shared" si="0"/>
        <v>0</v>
      </c>
      <c r="I49" s="142"/>
    </row>
    <row r="50" spans="1:9" ht="20.100000000000001" customHeight="1">
      <c r="B50" s="143">
        <v>39</v>
      </c>
      <c r="C50" s="368" t="s">
        <v>483</v>
      </c>
      <c r="D50" s="368" t="s">
        <v>484</v>
      </c>
      <c r="E50" s="312" t="s">
        <v>485</v>
      </c>
      <c r="F50" s="163"/>
      <c r="G50" s="163">
        <v>5000000</v>
      </c>
      <c r="H50" s="13">
        <f t="shared" si="0"/>
        <v>5000000</v>
      </c>
    </row>
    <row r="51" spans="1:9" ht="20.100000000000001" customHeight="1">
      <c r="B51" s="143">
        <v>40</v>
      </c>
      <c r="C51" s="368" t="s">
        <v>171</v>
      </c>
      <c r="D51" s="368" t="s">
        <v>172</v>
      </c>
      <c r="E51" s="312" t="s">
        <v>173</v>
      </c>
      <c r="F51" s="163"/>
      <c r="G51" s="163">
        <v>13983798.27</v>
      </c>
      <c r="H51" s="13">
        <f t="shared" si="0"/>
        <v>13983798.27</v>
      </c>
    </row>
    <row r="52" spans="1:9" ht="20.100000000000001" customHeight="1">
      <c r="B52" s="143">
        <v>41</v>
      </c>
      <c r="C52" s="368" t="s">
        <v>174</v>
      </c>
      <c r="D52" s="368" t="s">
        <v>175</v>
      </c>
      <c r="E52" s="312" t="s">
        <v>176</v>
      </c>
      <c r="F52" s="163"/>
      <c r="G52" s="163">
        <v>200000000</v>
      </c>
      <c r="H52" s="13">
        <f t="shared" si="0"/>
        <v>200000000</v>
      </c>
    </row>
    <row r="53" spans="1:9" ht="20.100000000000001" customHeight="1">
      <c r="B53" s="143">
        <v>42</v>
      </c>
      <c r="C53" s="143" t="s">
        <v>498</v>
      </c>
      <c r="D53" s="143" t="s">
        <v>499</v>
      </c>
      <c r="E53" s="375" t="s">
        <v>500</v>
      </c>
      <c r="F53" s="376"/>
      <c r="G53" s="376">
        <v>6000000</v>
      </c>
      <c r="H53" s="13">
        <f t="shared" si="0"/>
        <v>6000000</v>
      </c>
    </row>
    <row r="54" spans="1:9" ht="20.100000000000001" customHeight="1">
      <c r="B54" s="143">
        <v>43</v>
      </c>
      <c r="C54" s="143" t="s">
        <v>501</v>
      </c>
      <c r="D54" s="143" t="s">
        <v>502</v>
      </c>
      <c r="E54" s="144" t="s">
        <v>503</v>
      </c>
      <c r="F54" s="346">
        <v>97058805.189999998</v>
      </c>
      <c r="G54" s="346">
        <v>350000000</v>
      </c>
      <c r="H54" s="13">
        <f t="shared" si="0"/>
        <v>252941194.81</v>
      </c>
    </row>
    <row r="55" spans="1:9" ht="20.100000000000001" customHeight="1">
      <c r="B55" s="143">
        <v>44</v>
      </c>
      <c r="C55" s="143" t="s">
        <v>177</v>
      </c>
      <c r="D55" s="143" t="s">
        <v>178</v>
      </c>
      <c r="E55" s="144" t="s">
        <v>519</v>
      </c>
      <c r="F55" s="346"/>
      <c r="G55" s="346">
        <v>55000000</v>
      </c>
      <c r="H55" s="13">
        <f t="shared" si="0"/>
        <v>55000000</v>
      </c>
    </row>
    <row r="56" spans="1:9" ht="20.100000000000001" customHeight="1">
      <c r="B56" s="143">
        <v>45</v>
      </c>
      <c r="C56" s="143" t="s">
        <v>186</v>
      </c>
      <c r="D56" s="143" t="s">
        <v>187</v>
      </c>
      <c r="E56" s="144" t="s">
        <v>188</v>
      </c>
      <c r="F56" s="346">
        <v>0</v>
      </c>
      <c r="G56" s="346">
        <v>319084851.63</v>
      </c>
      <c r="H56" s="13">
        <f t="shared" si="0"/>
        <v>319084851.63</v>
      </c>
    </row>
    <row r="57" spans="1:9" ht="20.100000000000001" customHeight="1">
      <c r="B57" s="143">
        <v>46</v>
      </c>
      <c r="C57" s="143" t="s">
        <v>526</v>
      </c>
      <c r="D57" s="143" t="s">
        <v>527</v>
      </c>
      <c r="E57" s="144" t="s">
        <v>528</v>
      </c>
      <c r="F57" s="346"/>
      <c r="G57" s="346">
        <v>16526307.050000001</v>
      </c>
      <c r="H57" s="13">
        <f t="shared" si="0"/>
        <v>16526307.050000001</v>
      </c>
    </row>
    <row r="58" spans="1:9" ht="20.100000000000001" customHeight="1">
      <c r="B58" s="143">
        <v>47</v>
      </c>
      <c r="C58" s="143" t="s">
        <v>189</v>
      </c>
      <c r="D58" s="143" t="s">
        <v>190</v>
      </c>
      <c r="E58" s="144" t="s">
        <v>191</v>
      </c>
      <c r="F58" s="346"/>
      <c r="G58" s="346">
        <v>16526307.99</v>
      </c>
      <c r="H58" s="13">
        <f t="shared" si="0"/>
        <v>16526307.99</v>
      </c>
    </row>
    <row r="59" spans="1:9" ht="20.100000000000001" customHeight="1">
      <c r="B59" s="143">
        <v>48</v>
      </c>
      <c r="C59" s="143" t="s">
        <v>532</v>
      </c>
      <c r="D59" s="143" t="s">
        <v>533</v>
      </c>
      <c r="E59" s="144" t="s">
        <v>534</v>
      </c>
      <c r="F59" s="346">
        <v>682315710</v>
      </c>
      <c r="G59" s="346">
        <v>873125000</v>
      </c>
      <c r="H59" s="13">
        <f t="shared" si="0"/>
        <v>190809290</v>
      </c>
    </row>
    <row r="60" spans="1:9" ht="20.100000000000001" customHeight="1">
      <c r="B60" s="143">
        <v>49</v>
      </c>
      <c r="C60" s="143" t="s">
        <v>192</v>
      </c>
      <c r="D60" s="143" t="s">
        <v>193</v>
      </c>
      <c r="E60" s="144" t="s">
        <v>194</v>
      </c>
      <c r="F60" s="346"/>
      <c r="G60" s="346">
        <v>2643309.98</v>
      </c>
      <c r="H60" s="13">
        <f t="shared" si="0"/>
        <v>2643309.98</v>
      </c>
    </row>
    <row r="61" spans="1:9" ht="20.100000000000001" customHeight="1">
      <c r="B61" s="143">
        <v>50</v>
      </c>
      <c r="C61" s="143">
        <v>22700600100</v>
      </c>
      <c r="D61" s="143"/>
      <c r="E61" s="144" t="s">
        <v>1584</v>
      </c>
      <c r="F61" s="346"/>
      <c r="G61" s="346">
        <v>0</v>
      </c>
      <c r="H61" s="13">
        <f t="shared" si="0"/>
        <v>0</v>
      </c>
    </row>
    <row r="62" spans="1:9" ht="20.100000000000001" customHeight="1">
      <c r="B62" s="143">
        <v>51</v>
      </c>
      <c r="C62" s="143" t="s">
        <v>538</v>
      </c>
      <c r="D62" s="143" t="s">
        <v>782</v>
      </c>
      <c r="E62" s="144" t="s">
        <v>540</v>
      </c>
      <c r="F62" s="346"/>
      <c r="G62" s="346">
        <v>140000000</v>
      </c>
      <c r="H62" s="13">
        <f t="shared" si="0"/>
        <v>140000000</v>
      </c>
    </row>
    <row r="63" spans="1:9" ht="20.100000000000001" customHeight="1">
      <c r="B63" s="143">
        <v>52</v>
      </c>
      <c r="C63" s="143" t="s">
        <v>545</v>
      </c>
      <c r="D63" s="143" t="s">
        <v>546</v>
      </c>
      <c r="E63" s="144" t="s">
        <v>547</v>
      </c>
      <c r="F63" s="346"/>
      <c r="G63" s="346">
        <v>5000000</v>
      </c>
      <c r="H63" s="13">
        <f t="shared" si="0"/>
        <v>5000000</v>
      </c>
    </row>
    <row r="64" spans="1:9" ht="20.100000000000001" customHeight="1">
      <c r="B64" s="143">
        <v>53</v>
      </c>
      <c r="C64" s="143" t="s">
        <v>195</v>
      </c>
      <c r="D64" s="143" t="s">
        <v>196</v>
      </c>
      <c r="E64" s="144" t="s">
        <v>197</v>
      </c>
      <c r="F64" s="346">
        <v>219719510.87</v>
      </c>
      <c r="G64" s="346">
        <v>200000000</v>
      </c>
      <c r="H64" s="13">
        <f t="shared" si="0"/>
        <v>-19719510.870000005</v>
      </c>
    </row>
    <row r="65" spans="1:9" ht="20.100000000000001" customHeight="1">
      <c r="B65" s="143">
        <v>54</v>
      </c>
      <c r="C65" s="143" t="s">
        <v>198</v>
      </c>
      <c r="D65" s="143" t="s">
        <v>548</v>
      </c>
      <c r="E65" s="144" t="s">
        <v>200</v>
      </c>
      <c r="F65" s="346"/>
      <c r="G65" s="346">
        <v>109327877.45</v>
      </c>
      <c r="H65" s="13">
        <f t="shared" si="0"/>
        <v>109327877.45</v>
      </c>
    </row>
    <row r="66" spans="1:9" ht="20.100000000000001" customHeight="1">
      <c r="B66" s="143">
        <v>55</v>
      </c>
      <c r="C66" s="143" t="s">
        <v>203</v>
      </c>
      <c r="D66" s="143" t="s">
        <v>204</v>
      </c>
      <c r="E66" s="144" t="s">
        <v>205</v>
      </c>
      <c r="F66" s="346">
        <v>6368878724.3999996</v>
      </c>
      <c r="G66" s="346">
        <v>13450381042.16</v>
      </c>
      <c r="H66" s="13">
        <f t="shared" si="0"/>
        <v>7081502317.7600002</v>
      </c>
    </row>
    <row r="67" spans="1:9" ht="20.100000000000001" customHeight="1">
      <c r="B67" s="143">
        <v>56</v>
      </c>
      <c r="C67" s="143" t="s">
        <v>206</v>
      </c>
      <c r="D67" s="143" t="s">
        <v>207</v>
      </c>
      <c r="E67" s="144" t="s">
        <v>208</v>
      </c>
      <c r="F67" s="346">
        <v>1500000</v>
      </c>
      <c r="G67" s="346">
        <v>50000000</v>
      </c>
      <c r="H67" s="13">
        <f t="shared" si="0"/>
        <v>48500000</v>
      </c>
    </row>
    <row r="68" spans="1:9" ht="20.100000000000001" customHeight="1">
      <c r="B68" s="143">
        <v>57</v>
      </c>
      <c r="C68" s="143" t="s">
        <v>212</v>
      </c>
      <c r="D68" s="143" t="s">
        <v>213</v>
      </c>
      <c r="E68" s="144" t="s">
        <v>214</v>
      </c>
      <c r="F68" s="346"/>
      <c r="G68" s="346">
        <v>76262719.489999995</v>
      </c>
      <c r="H68" s="13">
        <f t="shared" si="0"/>
        <v>76262719.489999995</v>
      </c>
    </row>
    <row r="69" spans="1:9" ht="20.100000000000001" customHeight="1">
      <c r="B69" s="143">
        <v>58</v>
      </c>
      <c r="C69" s="143" t="s">
        <v>215</v>
      </c>
      <c r="D69" s="143" t="s">
        <v>216</v>
      </c>
      <c r="E69" s="144" t="s">
        <v>1488</v>
      </c>
      <c r="F69" s="346">
        <v>105984818.8</v>
      </c>
      <c r="G69" s="346">
        <v>2602875087.73</v>
      </c>
      <c r="H69" s="13">
        <f t="shared" si="0"/>
        <v>2496890268.9299998</v>
      </c>
    </row>
    <row r="70" spans="1:9" ht="20.100000000000001" customHeight="1">
      <c r="B70" s="143">
        <v>59</v>
      </c>
      <c r="C70" s="143" t="s">
        <v>215</v>
      </c>
      <c r="D70" s="143" t="s">
        <v>216</v>
      </c>
      <c r="E70" s="144" t="s">
        <v>792</v>
      </c>
      <c r="F70" s="346">
        <v>223650</v>
      </c>
      <c r="G70" s="346">
        <v>0</v>
      </c>
      <c r="H70" s="13">
        <f t="shared" si="0"/>
        <v>-223650</v>
      </c>
    </row>
    <row r="71" spans="1:9" s="113" customFormat="1" ht="20.100000000000001" customHeight="1">
      <c r="A71" s="142"/>
      <c r="B71" s="143">
        <v>60</v>
      </c>
      <c r="C71" s="143" t="s">
        <v>215</v>
      </c>
      <c r="D71" s="143" t="s">
        <v>216</v>
      </c>
      <c r="E71" s="144" t="s">
        <v>1516</v>
      </c>
      <c r="F71" s="346"/>
      <c r="G71" s="346">
        <v>0</v>
      </c>
      <c r="H71" s="13">
        <f t="shared" si="0"/>
        <v>0</v>
      </c>
      <c r="I71" s="142"/>
    </row>
    <row r="72" spans="1:9" ht="20.100000000000001" customHeight="1">
      <c r="B72" s="143">
        <v>61</v>
      </c>
      <c r="C72" s="143" t="s">
        <v>218</v>
      </c>
      <c r="D72" s="143" t="s">
        <v>219</v>
      </c>
      <c r="E72" s="144" t="s">
        <v>220</v>
      </c>
      <c r="F72" s="346"/>
      <c r="G72" s="346">
        <v>50000000</v>
      </c>
      <c r="H72" s="13">
        <f t="shared" si="0"/>
        <v>50000000</v>
      </c>
    </row>
    <row r="73" spans="1:9" ht="20.100000000000001" customHeight="1">
      <c r="B73" s="143">
        <v>62</v>
      </c>
      <c r="C73" s="143" t="s">
        <v>567</v>
      </c>
      <c r="D73" s="143" t="s">
        <v>568</v>
      </c>
      <c r="E73" s="144" t="s">
        <v>801</v>
      </c>
      <c r="F73" s="346"/>
      <c r="G73" s="346">
        <v>1200000000</v>
      </c>
      <c r="H73" s="13">
        <f t="shared" si="0"/>
        <v>1200000000</v>
      </c>
    </row>
    <row r="74" spans="1:9" ht="20.100000000000001" customHeight="1">
      <c r="B74" s="143">
        <v>63</v>
      </c>
      <c r="C74" s="143" t="s">
        <v>567</v>
      </c>
      <c r="D74" s="143" t="s">
        <v>568</v>
      </c>
      <c r="E74" s="144" t="s">
        <v>892</v>
      </c>
      <c r="F74" s="346"/>
      <c r="G74" s="346">
        <v>0</v>
      </c>
      <c r="H74" s="13">
        <f t="shared" ref="H74:H131" si="1">G74-F74</f>
        <v>0</v>
      </c>
    </row>
    <row r="75" spans="1:9" ht="20.100000000000001" customHeight="1">
      <c r="B75" s="143">
        <v>64</v>
      </c>
      <c r="C75" s="143" t="s">
        <v>576</v>
      </c>
      <c r="D75" s="143" t="s">
        <v>577</v>
      </c>
      <c r="E75" s="144" t="s">
        <v>578</v>
      </c>
      <c r="F75" s="346"/>
      <c r="G75" s="346">
        <v>2000000</v>
      </c>
      <c r="H75" s="13">
        <f t="shared" si="1"/>
        <v>2000000</v>
      </c>
    </row>
    <row r="76" spans="1:9" ht="20.100000000000001" customHeight="1">
      <c r="B76" s="143">
        <v>65</v>
      </c>
      <c r="C76" s="143" t="s">
        <v>221</v>
      </c>
      <c r="D76" s="143" t="s">
        <v>222</v>
      </c>
      <c r="E76" s="144" t="s">
        <v>223</v>
      </c>
      <c r="F76" s="346">
        <v>2000000</v>
      </c>
      <c r="G76" s="346">
        <v>500000000</v>
      </c>
      <c r="H76" s="13">
        <f t="shared" si="1"/>
        <v>498000000</v>
      </c>
    </row>
    <row r="77" spans="1:9" ht="20.100000000000001" customHeight="1">
      <c r="B77" s="143">
        <v>66</v>
      </c>
      <c r="C77" s="143" t="s">
        <v>224</v>
      </c>
      <c r="D77" s="143" t="s">
        <v>225</v>
      </c>
      <c r="E77" s="144" t="s">
        <v>226</v>
      </c>
      <c r="F77" s="346"/>
      <c r="G77" s="346">
        <v>25000000</v>
      </c>
      <c r="H77" s="13">
        <f t="shared" si="1"/>
        <v>25000000</v>
      </c>
    </row>
    <row r="78" spans="1:9" s="113" customFormat="1" ht="20.100000000000001" customHeight="1">
      <c r="A78" s="142"/>
      <c r="B78" s="143">
        <v>67</v>
      </c>
      <c r="C78" s="143" t="s">
        <v>224</v>
      </c>
      <c r="D78" s="143" t="s">
        <v>225</v>
      </c>
      <c r="E78" s="144" t="s">
        <v>1515</v>
      </c>
      <c r="F78" s="346"/>
      <c r="G78" s="346">
        <v>0</v>
      </c>
      <c r="H78" s="13">
        <f t="shared" si="1"/>
        <v>0</v>
      </c>
      <c r="I78" s="142"/>
    </row>
    <row r="79" spans="1:9" ht="20.100000000000001" customHeight="1">
      <c r="B79" s="143">
        <v>68</v>
      </c>
      <c r="C79" s="143" t="s">
        <v>224</v>
      </c>
      <c r="D79" s="143" t="s">
        <v>225</v>
      </c>
      <c r="E79" s="144" t="s">
        <v>890</v>
      </c>
      <c r="F79" s="346">
        <v>771168465</v>
      </c>
      <c r="G79" s="346">
        <v>0</v>
      </c>
      <c r="H79" s="13">
        <f t="shared" si="1"/>
        <v>-771168465</v>
      </c>
    </row>
    <row r="80" spans="1:9" ht="20.100000000000001" customHeight="1">
      <c r="B80" s="143">
        <v>69</v>
      </c>
      <c r="C80" s="143" t="s">
        <v>224</v>
      </c>
      <c r="D80" s="143" t="s">
        <v>225</v>
      </c>
      <c r="E80" s="144" t="s">
        <v>893</v>
      </c>
      <c r="F80" s="346"/>
      <c r="G80" s="346">
        <v>0</v>
      </c>
      <c r="H80" s="13">
        <f t="shared" si="1"/>
        <v>0</v>
      </c>
    </row>
    <row r="81" spans="2:8" ht="20.100000000000001" customHeight="1">
      <c r="B81" s="143">
        <v>70</v>
      </c>
      <c r="C81" s="143" t="s">
        <v>224</v>
      </c>
      <c r="D81" s="143" t="s">
        <v>225</v>
      </c>
      <c r="E81" s="144" t="s">
        <v>891</v>
      </c>
      <c r="F81" s="346"/>
      <c r="G81" s="346">
        <v>0</v>
      </c>
      <c r="H81" s="13">
        <f t="shared" si="1"/>
        <v>0</v>
      </c>
    </row>
    <row r="82" spans="2:8" ht="20.100000000000001" customHeight="1">
      <c r="B82" s="143">
        <v>71</v>
      </c>
      <c r="C82" s="143" t="s">
        <v>227</v>
      </c>
      <c r="D82" s="143" t="s">
        <v>228</v>
      </c>
      <c r="E82" s="144" t="s">
        <v>229</v>
      </c>
      <c r="F82" s="346">
        <v>92617837.840000004</v>
      </c>
      <c r="G82" s="346">
        <v>200000000</v>
      </c>
      <c r="H82" s="13">
        <f t="shared" si="1"/>
        <v>107382162.16</v>
      </c>
    </row>
    <row r="83" spans="2:8" ht="20.100000000000001" customHeight="1">
      <c r="B83" s="143">
        <v>72</v>
      </c>
      <c r="C83" s="143" t="s">
        <v>230</v>
      </c>
      <c r="D83" s="143" t="s">
        <v>231</v>
      </c>
      <c r="E83" s="144" t="s">
        <v>232</v>
      </c>
      <c r="F83" s="346"/>
      <c r="G83" s="346">
        <v>159000000</v>
      </c>
      <c r="H83" s="13">
        <f t="shared" si="1"/>
        <v>159000000</v>
      </c>
    </row>
    <row r="84" spans="2:8" ht="20.100000000000001" customHeight="1">
      <c r="B84" s="143">
        <v>73</v>
      </c>
      <c r="C84" s="143" t="s">
        <v>236</v>
      </c>
      <c r="D84" s="143" t="s">
        <v>237</v>
      </c>
      <c r="E84" s="144" t="s">
        <v>582</v>
      </c>
      <c r="F84" s="346"/>
      <c r="G84" s="346">
        <v>25000000</v>
      </c>
      <c r="H84" s="13">
        <f t="shared" si="1"/>
        <v>25000000</v>
      </c>
    </row>
    <row r="85" spans="2:8" ht="20.100000000000001" customHeight="1">
      <c r="B85" s="143">
        <v>74</v>
      </c>
      <c r="C85" s="143" t="s">
        <v>239</v>
      </c>
      <c r="D85" s="143" t="s">
        <v>240</v>
      </c>
      <c r="E85" s="144" t="s">
        <v>241</v>
      </c>
      <c r="F85" s="346"/>
      <c r="G85" s="346">
        <v>100000000</v>
      </c>
      <c r="H85" s="13">
        <f t="shared" si="1"/>
        <v>100000000</v>
      </c>
    </row>
    <row r="86" spans="2:8" ht="20.100000000000001" customHeight="1">
      <c r="B86" s="143">
        <v>75</v>
      </c>
      <c r="C86" s="143" t="s">
        <v>585</v>
      </c>
      <c r="D86" s="143" t="s">
        <v>586</v>
      </c>
      <c r="E86" s="144" t="s">
        <v>587</v>
      </c>
      <c r="F86" s="346">
        <v>6670425</v>
      </c>
      <c r="G86" s="346">
        <v>52000000</v>
      </c>
      <c r="H86" s="13">
        <f t="shared" si="1"/>
        <v>45329575</v>
      </c>
    </row>
    <row r="87" spans="2:8" ht="20.100000000000001" customHeight="1">
      <c r="B87" s="143"/>
      <c r="C87" s="143"/>
      <c r="D87" s="143"/>
      <c r="E87" s="398" t="s">
        <v>783</v>
      </c>
      <c r="F87" s="266">
        <f>SUM(F43:F86)</f>
        <v>8348137947.1000004</v>
      </c>
      <c r="G87" s="266">
        <f>SUM(G43:G86)</f>
        <v>21532053741.57</v>
      </c>
      <c r="H87" s="13">
        <f t="shared" si="1"/>
        <v>13183915794.469999</v>
      </c>
    </row>
    <row r="88" spans="2:8" ht="20.100000000000001" customHeight="1">
      <c r="B88" s="143"/>
      <c r="C88" s="143"/>
      <c r="D88" s="143"/>
      <c r="E88" s="144"/>
      <c r="F88" s="346"/>
      <c r="G88" s="346"/>
      <c r="H88" s="13">
        <f t="shared" si="1"/>
        <v>0</v>
      </c>
    </row>
    <row r="89" spans="2:8" ht="20.100000000000001" customHeight="1">
      <c r="B89" s="143"/>
      <c r="C89" s="143"/>
      <c r="D89" s="143"/>
      <c r="E89" s="398" t="s">
        <v>243</v>
      </c>
      <c r="F89" s="400"/>
      <c r="G89" s="400"/>
      <c r="H89" s="13">
        <f t="shared" si="1"/>
        <v>0</v>
      </c>
    </row>
    <row r="90" spans="2:8" ht="20.100000000000001" customHeight="1">
      <c r="B90" s="143">
        <v>76</v>
      </c>
      <c r="C90" s="143" t="s">
        <v>665</v>
      </c>
      <c r="D90" s="143" t="s">
        <v>666</v>
      </c>
      <c r="E90" s="144" t="s">
        <v>667</v>
      </c>
      <c r="F90" s="346"/>
      <c r="G90" s="346">
        <v>169000000</v>
      </c>
      <c r="H90" s="13">
        <f t="shared" si="1"/>
        <v>169000000</v>
      </c>
    </row>
    <row r="91" spans="2:8" ht="20.100000000000001" customHeight="1">
      <c r="B91" s="143">
        <v>77</v>
      </c>
      <c r="C91" s="143" t="s">
        <v>668</v>
      </c>
      <c r="D91" s="143" t="s">
        <v>129</v>
      </c>
      <c r="E91" s="144" t="s">
        <v>670</v>
      </c>
      <c r="F91" s="346"/>
      <c r="G91" s="346">
        <v>200000000</v>
      </c>
      <c r="H91" s="13">
        <f t="shared" si="1"/>
        <v>200000000</v>
      </c>
    </row>
    <row r="92" spans="2:8" ht="20.100000000000001" customHeight="1">
      <c r="B92" s="143">
        <v>78</v>
      </c>
      <c r="C92" s="143" t="s">
        <v>244</v>
      </c>
      <c r="D92" s="143" t="s">
        <v>245</v>
      </c>
      <c r="E92" s="144" t="s">
        <v>246</v>
      </c>
      <c r="F92" s="346"/>
      <c r="G92" s="346">
        <v>65865229.219999999</v>
      </c>
      <c r="H92" s="13">
        <f t="shared" si="1"/>
        <v>65865229.219999999</v>
      </c>
    </row>
    <row r="93" spans="2:8" ht="20.100000000000001" customHeight="1">
      <c r="B93" s="143">
        <v>79</v>
      </c>
      <c r="C93" s="143" t="s">
        <v>625</v>
      </c>
      <c r="D93" s="143" t="s">
        <v>627</v>
      </c>
      <c r="E93" s="144" t="s">
        <v>628</v>
      </c>
      <c r="F93" s="346"/>
      <c r="G93" s="346">
        <v>27000000</v>
      </c>
      <c r="H93" s="13">
        <f t="shared" si="1"/>
        <v>27000000</v>
      </c>
    </row>
    <row r="94" spans="2:8" ht="20.100000000000001" customHeight="1">
      <c r="B94" s="143">
        <v>80</v>
      </c>
      <c r="C94" s="143" t="s">
        <v>784</v>
      </c>
      <c r="D94" s="143" t="s">
        <v>785</v>
      </c>
      <c r="E94" s="144" t="s">
        <v>786</v>
      </c>
      <c r="F94" s="346"/>
      <c r="G94" s="346">
        <v>0</v>
      </c>
      <c r="H94" s="13">
        <f t="shared" si="1"/>
        <v>0</v>
      </c>
    </row>
    <row r="95" spans="2:8" ht="20.100000000000001" customHeight="1">
      <c r="B95" s="143"/>
      <c r="C95" s="143"/>
      <c r="D95" s="143"/>
      <c r="E95" s="398" t="s">
        <v>247</v>
      </c>
      <c r="F95" s="266">
        <f>SUM(F90:F94)</f>
        <v>0</v>
      </c>
      <c r="G95" s="266">
        <f>SUM(G90:G94)</f>
        <v>461865229.22000003</v>
      </c>
      <c r="H95" s="13">
        <f t="shared" si="1"/>
        <v>461865229.22000003</v>
      </c>
    </row>
    <row r="96" spans="2:8" ht="20.100000000000001" customHeight="1">
      <c r="B96" s="143"/>
      <c r="C96" s="143"/>
      <c r="D96" s="143"/>
      <c r="E96" s="144"/>
      <c r="F96" s="346"/>
      <c r="G96" s="346"/>
      <c r="H96" s="13">
        <f t="shared" si="1"/>
        <v>0</v>
      </c>
    </row>
    <row r="97" spans="2:8" ht="20.100000000000001" customHeight="1">
      <c r="B97" s="143"/>
      <c r="C97" s="143"/>
      <c r="D97" s="143"/>
      <c r="E97" s="398" t="s">
        <v>248</v>
      </c>
      <c r="F97" s="400"/>
      <c r="G97" s="400"/>
      <c r="H97" s="13">
        <f t="shared" si="1"/>
        <v>0</v>
      </c>
    </row>
    <row r="98" spans="2:8" ht="20.100000000000001" customHeight="1">
      <c r="B98" s="143">
        <v>81</v>
      </c>
      <c r="C98" s="143" t="s">
        <v>787</v>
      </c>
      <c r="D98" s="143" t="s">
        <v>788</v>
      </c>
      <c r="E98" s="144" t="s">
        <v>789</v>
      </c>
      <c r="F98" s="346"/>
      <c r="G98" s="346">
        <v>0</v>
      </c>
      <c r="H98" s="13">
        <f t="shared" si="1"/>
        <v>0</v>
      </c>
    </row>
    <row r="99" spans="2:8" ht="20.100000000000001" customHeight="1">
      <c r="B99" s="143"/>
      <c r="C99" s="143"/>
      <c r="D99" s="143"/>
      <c r="E99" s="398" t="s">
        <v>790</v>
      </c>
      <c r="F99" s="266">
        <f>SUM(F98)</f>
        <v>0</v>
      </c>
      <c r="G99" s="266">
        <f>SUM(G98)</f>
        <v>0</v>
      </c>
      <c r="H99" s="13">
        <f t="shared" si="1"/>
        <v>0</v>
      </c>
    </row>
    <row r="100" spans="2:8" ht="20.100000000000001" customHeight="1">
      <c r="B100" s="143"/>
      <c r="C100" s="143"/>
      <c r="D100" s="143"/>
      <c r="E100" s="144"/>
      <c r="F100" s="346"/>
      <c r="G100" s="346"/>
      <c r="H100" s="13">
        <f t="shared" si="1"/>
        <v>0</v>
      </c>
    </row>
    <row r="101" spans="2:8" ht="20.100000000000001" customHeight="1">
      <c r="B101" s="143"/>
      <c r="C101" s="143"/>
      <c r="D101" s="143"/>
      <c r="E101" s="398" t="s">
        <v>791</v>
      </c>
      <c r="F101" s="400"/>
      <c r="G101" s="400"/>
      <c r="H101" s="13">
        <f t="shared" si="1"/>
        <v>0</v>
      </c>
    </row>
    <row r="102" spans="2:8" ht="20.100000000000001" customHeight="1">
      <c r="B102" s="143">
        <v>82</v>
      </c>
      <c r="C102" s="143" t="s">
        <v>793</v>
      </c>
      <c r="D102" s="143" t="s">
        <v>794</v>
      </c>
      <c r="E102" s="144" t="s">
        <v>795</v>
      </c>
      <c r="F102" s="346"/>
      <c r="G102" s="346"/>
      <c r="H102" s="13">
        <f t="shared" si="1"/>
        <v>0</v>
      </c>
    </row>
    <row r="103" spans="2:8" ht="20.100000000000001" customHeight="1">
      <c r="B103" s="143">
        <v>83</v>
      </c>
      <c r="C103" s="143" t="s">
        <v>251</v>
      </c>
      <c r="D103" s="143" t="s">
        <v>252</v>
      </c>
      <c r="E103" s="144" t="s">
        <v>253</v>
      </c>
      <c r="F103" s="346">
        <v>245850000</v>
      </c>
      <c r="G103" s="346">
        <v>438375000</v>
      </c>
      <c r="H103" s="13">
        <f t="shared" si="1"/>
        <v>192525000</v>
      </c>
    </row>
    <row r="104" spans="2:8" ht="20.100000000000001" customHeight="1">
      <c r="B104" s="143">
        <v>84</v>
      </c>
      <c r="C104" s="143" t="s">
        <v>260</v>
      </c>
      <c r="D104" s="143" t="s">
        <v>261</v>
      </c>
      <c r="E104" s="144" t="s">
        <v>262</v>
      </c>
      <c r="F104" s="346">
        <v>725887799.11000001</v>
      </c>
      <c r="G104" s="346">
        <v>1515000000</v>
      </c>
      <c r="H104" s="13">
        <f t="shared" si="1"/>
        <v>789112200.88999999</v>
      </c>
    </row>
    <row r="105" spans="2:8" ht="20.100000000000001" customHeight="1">
      <c r="B105" s="143">
        <v>85</v>
      </c>
      <c r="C105" s="143" t="s">
        <v>260</v>
      </c>
      <c r="D105" s="143" t="s">
        <v>261</v>
      </c>
      <c r="E105" s="144" t="s">
        <v>796</v>
      </c>
      <c r="F105" s="346">
        <v>122791042</v>
      </c>
      <c r="G105" s="346">
        <v>0</v>
      </c>
      <c r="H105" s="13">
        <f t="shared" si="1"/>
        <v>-122791042</v>
      </c>
    </row>
    <row r="106" spans="2:8" ht="20.100000000000001" customHeight="1">
      <c r="B106" s="143">
        <v>86</v>
      </c>
      <c r="C106" s="143" t="s">
        <v>271</v>
      </c>
      <c r="D106" s="143" t="s">
        <v>272</v>
      </c>
      <c r="E106" s="144" t="s">
        <v>273</v>
      </c>
      <c r="F106" s="346">
        <v>68035667.120000005</v>
      </c>
      <c r="G106" s="346">
        <v>1880600000</v>
      </c>
      <c r="H106" s="13">
        <f t="shared" si="1"/>
        <v>1812564332.8800001</v>
      </c>
    </row>
    <row r="107" spans="2:8" ht="20.100000000000001" customHeight="1">
      <c r="B107" s="143">
        <v>87</v>
      </c>
      <c r="C107" s="143" t="s">
        <v>271</v>
      </c>
      <c r="D107" s="143" t="s">
        <v>272</v>
      </c>
      <c r="E107" s="144" t="s">
        <v>1946</v>
      </c>
      <c r="F107" s="346"/>
      <c r="G107" s="346">
        <v>0</v>
      </c>
      <c r="H107" s="13">
        <f t="shared" si="1"/>
        <v>0</v>
      </c>
    </row>
    <row r="108" spans="2:8" ht="20.100000000000001" customHeight="1">
      <c r="B108" s="143">
        <v>88</v>
      </c>
      <c r="C108" s="143" t="s">
        <v>274</v>
      </c>
      <c r="D108" s="143" t="s">
        <v>275</v>
      </c>
      <c r="E108" s="144" t="s">
        <v>276</v>
      </c>
      <c r="F108" s="346"/>
      <c r="G108" s="346">
        <v>17350000</v>
      </c>
      <c r="H108" s="13">
        <f t="shared" si="1"/>
        <v>17350000</v>
      </c>
    </row>
    <row r="109" spans="2:8" ht="20.100000000000001" customHeight="1">
      <c r="B109" s="143">
        <v>89</v>
      </c>
      <c r="C109" s="143" t="s">
        <v>671</v>
      </c>
      <c r="D109" s="143" t="s">
        <v>672</v>
      </c>
      <c r="E109" s="144" t="s">
        <v>673</v>
      </c>
      <c r="F109" s="346"/>
      <c r="G109" s="346">
        <v>60000000</v>
      </c>
      <c r="H109" s="13">
        <f t="shared" si="1"/>
        <v>60000000</v>
      </c>
    </row>
    <row r="110" spans="2:8" ht="20.100000000000001" customHeight="1">
      <c r="B110" s="143">
        <v>90</v>
      </c>
      <c r="C110" s="143" t="s">
        <v>674</v>
      </c>
      <c r="D110" s="143" t="s">
        <v>675</v>
      </c>
      <c r="E110" s="144" t="s">
        <v>676</v>
      </c>
      <c r="F110" s="346"/>
      <c r="G110" s="346">
        <v>260000000</v>
      </c>
      <c r="H110" s="13">
        <f t="shared" si="1"/>
        <v>260000000</v>
      </c>
    </row>
    <row r="111" spans="2:8" ht="20.100000000000001" customHeight="1">
      <c r="B111" s="143">
        <v>91</v>
      </c>
      <c r="C111" s="143" t="s">
        <v>281</v>
      </c>
      <c r="D111" s="143" t="s">
        <v>282</v>
      </c>
      <c r="E111" s="144" t="s">
        <v>283</v>
      </c>
      <c r="F111" s="346"/>
      <c r="G111" s="346">
        <v>24000000</v>
      </c>
      <c r="H111" s="13">
        <f t="shared" si="1"/>
        <v>24000000</v>
      </c>
    </row>
    <row r="112" spans="2:8" ht="20.100000000000001" customHeight="1">
      <c r="B112" s="143">
        <v>92</v>
      </c>
      <c r="C112" s="143" t="s">
        <v>284</v>
      </c>
      <c r="D112" s="143" t="s">
        <v>285</v>
      </c>
      <c r="E112" s="144" t="s">
        <v>286</v>
      </c>
      <c r="F112" s="346">
        <v>1519871879.4200001</v>
      </c>
      <c r="G112" s="346">
        <v>1945830120.3699999</v>
      </c>
      <c r="H112" s="13">
        <f t="shared" si="1"/>
        <v>425958240.94999981</v>
      </c>
    </row>
    <row r="113" spans="2:8" ht="20.100000000000001" customHeight="1">
      <c r="B113" s="143">
        <v>93</v>
      </c>
      <c r="C113" s="143" t="s">
        <v>287</v>
      </c>
      <c r="D113" s="143" t="s">
        <v>288</v>
      </c>
      <c r="E113" s="144" t="s">
        <v>289</v>
      </c>
      <c r="F113" s="346">
        <v>0</v>
      </c>
      <c r="G113" s="346">
        <v>41000000</v>
      </c>
      <c r="H113" s="13">
        <f t="shared" si="1"/>
        <v>41000000</v>
      </c>
    </row>
    <row r="114" spans="2:8" ht="20.100000000000001" customHeight="1">
      <c r="B114" s="143">
        <v>94</v>
      </c>
      <c r="C114" s="143" t="s">
        <v>290</v>
      </c>
      <c r="D114" s="143" t="s">
        <v>291</v>
      </c>
      <c r="E114" s="144" t="s">
        <v>292</v>
      </c>
      <c r="F114" s="346"/>
      <c r="G114" s="346">
        <v>0</v>
      </c>
      <c r="H114" s="13">
        <f t="shared" si="1"/>
        <v>0</v>
      </c>
    </row>
    <row r="115" spans="2:8" ht="20.100000000000001" customHeight="1">
      <c r="B115" s="143">
        <v>95</v>
      </c>
      <c r="C115" s="143" t="s">
        <v>293</v>
      </c>
      <c r="D115" s="143" t="s">
        <v>294</v>
      </c>
      <c r="E115" s="144" t="s">
        <v>295</v>
      </c>
      <c r="F115" s="346"/>
      <c r="G115" s="346">
        <v>3200000</v>
      </c>
      <c r="H115" s="13">
        <f t="shared" si="1"/>
        <v>3200000</v>
      </c>
    </row>
    <row r="116" spans="2:8" ht="20.100000000000001" customHeight="1">
      <c r="B116" s="143">
        <v>96</v>
      </c>
      <c r="C116" s="143" t="s">
        <v>296</v>
      </c>
      <c r="D116" s="143" t="s">
        <v>297</v>
      </c>
      <c r="E116" s="144" t="s">
        <v>298</v>
      </c>
      <c r="F116" s="346">
        <v>133722343.87</v>
      </c>
      <c r="G116" s="346">
        <v>22000000</v>
      </c>
      <c r="H116" s="13">
        <f t="shared" si="1"/>
        <v>-111722343.87</v>
      </c>
    </row>
    <row r="117" spans="2:8" ht="20.100000000000001" customHeight="1">
      <c r="B117" s="143">
        <v>97</v>
      </c>
      <c r="C117" s="143" t="s">
        <v>299</v>
      </c>
      <c r="D117" s="143" t="s">
        <v>300</v>
      </c>
      <c r="E117" s="144" t="s">
        <v>301</v>
      </c>
      <c r="F117" s="346">
        <v>1000000</v>
      </c>
      <c r="G117" s="346">
        <v>513000000</v>
      </c>
      <c r="H117" s="13">
        <f t="shared" si="1"/>
        <v>512000000</v>
      </c>
    </row>
    <row r="118" spans="2:8" ht="20.100000000000001" customHeight="1">
      <c r="B118" s="143">
        <v>98</v>
      </c>
      <c r="C118" s="143" t="s">
        <v>299</v>
      </c>
      <c r="D118" s="143" t="s">
        <v>601</v>
      </c>
      <c r="E118" s="144" t="s">
        <v>1514</v>
      </c>
      <c r="F118" s="346"/>
      <c r="G118" s="346">
        <v>0</v>
      </c>
      <c r="H118" s="13">
        <f t="shared" si="1"/>
        <v>0</v>
      </c>
    </row>
    <row r="119" spans="2:8" ht="20.100000000000001" customHeight="1">
      <c r="B119" s="143">
        <v>99</v>
      </c>
      <c r="C119" s="143" t="s">
        <v>600</v>
      </c>
      <c r="D119" s="143" t="s">
        <v>601</v>
      </c>
      <c r="E119" s="144" t="s">
        <v>602</v>
      </c>
      <c r="F119" s="346"/>
      <c r="G119" s="346">
        <v>0</v>
      </c>
      <c r="H119" s="13">
        <f t="shared" si="1"/>
        <v>0</v>
      </c>
    </row>
    <row r="120" spans="2:8" ht="20.100000000000001" customHeight="1">
      <c r="B120" s="143">
        <v>100</v>
      </c>
      <c r="C120" s="143" t="s">
        <v>302</v>
      </c>
      <c r="D120" s="143" t="s">
        <v>303</v>
      </c>
      <c r="E120" s="144" t="s">
        <v>304</v>
      </c>
      <c r="F120" s="346">
        <v>12196570</v>
      </c>
      <c r="G120" s="346">
        <v>170000000</v>
      </c>
      <c r="H120" s="13">
        <f t="shared" si="1"/>
        <v>157803430</v>
      </c>
    </row>
    <row r="121" spans="2:8" ht="20.100000000000001" customHeight="1">
      <c r="B121" s="143">
        <v>101</v>
      </c>
      <c r="C121" s="143" t="s">
        <v>677</v>
      </c>
      <c r="D121" s="143" t="s">
        <v>678</v>
      </c>
      <c r="E121" s="144" t="s">
        <v>679</v>
      </c>
      <c r="F121" s="346">
        <v>14605857.5</v>
      </c>
      <c r="G121" s="346">
        <v>160853934.24000001</v>
      </c>
      <c r="H121" s="13">
        <f t="shared" si="1"/>
        <v>146248076.74000001</v>
      </c>
    </row>
    <row r="122" spans="2:8" ht="20.100000000000001" customHeight="1">
      <c r="B122" s="143">
        <v>102</v>
      </c>
      <c r="C122" s="143" t="s">
        <v>305</v>
      </c>
      <c r="D122" s="143" t="s">
        <v>306</v>
      </c>
      <c r="E122" s="375" t="s">
        <v>307</v>
      </c>
      <c r="F122" s="376"/>
      <c r="G122" s="376">
        <v>208000000</v>
      </c>
      <c r="H122" s="13">
        <f t="shared" si="1"/>
        <v>208000000</v>
      </c>
    </row>
    <row r="123" spans="2:8" ht="20.100000000000001" customHeight="1">
      <c r="B123" s="143">
        <v>103</v>
      </c>
      <c r="C123" s="143" t="s">
        <v>680</v>
      </c>
      <c r="D123" s="143" t="s">
        <v>681</v>
      </c>
      <c r="E123" s="375" t="s">
        <v>682</v>
      </c>
      <c r="F123" s="376"/>
      <c r="G123" s="376">
        <v>85000000</v>
      </c>
      <c r="H123" s="13">
        <f t="shared" si="1"/>
        <v>85000000</v>
      </c>
    </row>
    <row r="124" spans="2:8" ht="20.100000000000001" customHeight="1">
      <c r="B124" s="143">
        <v>104</v>
      </c>
      <c r="C124" s="143" t="s">
        <v>308</v>
      </c>
      <c r="D124" s="143" t="s">
        <v>309</v>
      </c>
      <c r="E124" s="144" t="s">
        <v>310</v>
      </c>
      <c r="F124" s="346"/>
      <c r="G124" s="346">
        <v>70000000</v>
      </c>
      <c r="H124" s="13">
        <f t="shared" si="1"/>
        <v>70000000</v>
      </c>
    </row>
    <row r="125" spans="2:8" ht="20.100000000000001" customHeight="1">
      <c r="B125" s="143">
        <v>105</v>
      </c>
      <c r="C125" s="143" t="s">
        <v>311</v>
      </c>
      <c r="D125" s="143" t="s">
        <v>312</v>
      </c>
      <c r="E125" s="144" t="s">
        <v>313</v>
      </c>
      <c r="F125" s="346"/>
      <c r="G125" s="346">
        <v>5000000</v>
      </c>
      <c r="H125" s="13">
        <f t="shared" si="1"/>
        <v>5000000</v>
      </c>
    </row>
    <row r="126" spans="2:8" ht="20.100000000000001" customHeight="1">
      <c r="B126" s="143">
        <v>106</v>
      </c>
      <c r="C126" s="143" t="s">
        <v>314</v>
      </c>
      <c r="D126" s="143" t="s">
        <v>315</v>
      </c>
      <c r="E126" s="375" t="s">
        <v>316</v>
      </c>
      <c r="F126" s="376">
        <v>59403907.68</v>
      </c>
      <c r="G126" s="376">
        <v>500000000</v>
      </c>
      <c r="H126" s="13">
        <f t="shared" si="1"/>
        <v>440596092.31999999</v>
      </c>
    </row>
    <row r="127" spans="2:8" ht="20.100000000000001" customHeight="1">
      <c r="B127" s="143">
        <v>107</v>
      </c>
      <c r="C127" s="143" t="s">
        <v>317</v>
      </c>
      <c r="D127" s="143" t="s">
        <v>318</v>
      </c>
      <c r="E127" s="144" t="s">
        <v>319</v>
      </c>
      <c r="F127" s="346"/>
      <c r="G127" s="346">
        <v>50000000</v>
      </c>
      <c r="H127" s="13">
        <f t="shared" si="1"/>
        <v>50000000</v>
      </c>
    </row>
    <row r="128" spans="2:8" ht="20.100000000000001" customHeight="1">
      <c r="B128" s="143">
        <v>108</v>
      </c>
      <c r="C128" s="143" t="s">
        <v>320</v>
      </c>
      <c r="D128" s="143" t="s">
        <v>321</v>
      </c>
      <c r="E128" s="144" t="s">
        <v>322</v>
      </c>
      <c r="F128" s="346"/>
      <c r="G128" s="346">
        <v>6572500</v>
      </c>
      <c r="H128" s="13">
        <f t="shared" si="1"/>
        <v>6572500</v>
      </c>
    </row>
    <row r="129" spans="2:8" ht="20.100000000000001" customHeight="1">
      <c r="B129" s="143">
        <v>109</v>
      </c>
      <c r="C129" s="143" t="s">
        <v>324</v>
      </c>
      <c r="D129" s="143" t="s">
        <v>325</v>
      </c>
      <c r="E129" s="375" t="s">
        <v>326</v>
      </c>
      <c r="F129" s="376">
        <v>12103000</v>
      </c>
      <c r="G129" s="376">
        <v>50000000</v>
      </c>
      <c r="H129" s="13">
        <f t="shared" si="1"/>
        <v>37897000</v>
      </c>
    </row>
    <row r="130" spans="2:8" ht="20.100000000000001" customHeight="1">
      <c r="B130" s="143">
        <v>110</v>
      </c>
      <c r="C130" s="143" t="s">
        <v>608</v>
      </c>
      <c r="D130" s="143" t="s">
        <v>609</v>
      </c>
      <c r="E130" s="144" t="s">
        <v>610</v>
      </c>
      <c r="F130" s="346"/>
      <c r="G130" s="346">
        <v>10000000</v>
      </c>
      <c r="H130" s="13">
        <f t="shared" si="1"/>
        <v>10000000</v>
      </c>
    </row>
    <row r="131" spans="2:8" ht="20.100000000000001" customHeight="1">
      <c r="B131" s="143">
        <v>111</v>
      </c>
      <c r="C131" s="143" t="s">
        <v>616</v>
      </c>
      <c r="D131" s="143" t="s">
        <v>617</v>
      </c>
      <c r="E131" s="144" t="s">
        <v>618</v>
      </c>
      <c r="F131" s="346"/>
      <c r="G131" s="346">
        <v>0</v>
      </c>
      <c r="H131" s="13">
        <f t="shared" si="1"/>
        <v>0</v>
      </c>
    </row>
    <row r="132" spans="2:8" ht="20.100000000000001" customHeight="1">
      <c r="B132" s="143"/>
      <c r="C132" s="143"/>
      <c r="D132" s="143"/>
      <c r="E132" s="398" t="s">
        <v>797</v>
      </c>
      <c r="F132" s="266">
        <f>SUM(F102:F131)</f>
        <v>2915468066.6999998</v>
      </c>
      <c r="G132" s="266">
        <f>SUM(G102:G131)</f>
        <v>8035781554.6099997</v>
      </c>
      <c r="H132" s="266">
        <f>SUM(H102:H131)</f>
        <v>5120313487.9099998</v>
      </c>
    </row>
    <row r="133" spans="2:8" ht="20.100000000000001" customHeight="1">
      <c r="B133" s="143"/>
      <c r="C133" s="143"/>
      <c r="D133" s="143"/>
      <c r="E133" s="398"/>
      <c r="F133" s="266"/>
      <c r="G133" s="266"/>
      <c r="H133" s="266"/>
    </row>
    <row r="134" spans="2:8" ht="20.100000000000001" customHeight="1">
      <c r="B134" s="143"/>
      <c r="C134" s="143"/>
      <c r="D134" s="143"/>
      <c r="E134" s="311" t="s">
        <v>629</v>
      </c>
      <c r="F134" s="372"/>
      <c r="G134" s="372"/>
      <c r="H134" s="143"/>
    </row>
    <row r="135" spans="2:8" ht="20.100000000000001" customHeight="1">
      <c r="B135" s="143"/>
      <c r="C135" s="143"/>
      <c r="D135" s="143"/>
      <c r="E135" s="311" t="s">
        <v>90</v>
      </c>
      <c r="F135" s="266">
        <f>F40</f>
        <v>702532362.81000006</v>
      </c>
      <c r="G135" s="266">
        <f>G40</f>
        <v>3704418345.0100002</v>
      </c>
      <c r="H135" s="266">
        <f>H40</f>
        <v>3001885982.2000003</v>
      </c>
    </row>
    <row r="136" spans="2:8" ht="20.100000000000001" customHeight="1">
      <c r="B136" s="143"/>
      <c r="C136" s="143"/>
      <c r="D136" s="143"/>
      <c r="E136" s="311" t="s">
        <v>161</v>
      </c>
      <c r="F136" s="266">
        <f>F87</f>
        <v>8348137947.1000004</v>
      </c>
      <c r="G136" s="266">
        <f>G87</f>
        <v>21532053741.57</v>
      </c>
      <c r="H136" s="266">
        <f>H87</f>
        <v>13183915794.469999</v>
      </c>
    </row>
    <row r="137" spans="2:8" ht="20.100000000000001" customHeight="1">
      <c r="B137" s="143"/>
      <c r="C137" s="143"/>
      <c r="D137" s="143"/>
      <c r="E137" s="160" t="s">
        <v>243</v>
      </c>
      <c r="F137" s="266"/>
      <c r="G137" s="266">
        <f>G95</f>
        <v>461865229.22000003</v>
      </c>
      <c r="H137" s="266">
        <f>H95</f>
        <v>461865229.22000003</v>
      </c>
    </row>
    <row r="138" spans="2:8" ht="20.100000000000001" customHeight="1">
      <c r="B138" s="143"/>
      <c r="C138" s="143"/>
      <c r="D138" s="143"/>
      <c r="E138" s="160" t="s">
        <v>248</v>
      </c>
      <c r="F138" s="266">
        <f>F99</f>
        <v>0</v>
      </c>
      <c r="G138" s="266">
        <f>G99</f>
        <v>0</v>
      </c>
      <c r="H138" s="266">
        <f>H99</f>
        <v>0</v>
      </c>
    </row>
    <row r="139" spans="2:8" ht="20.100000000000001" customHeight="1">
      <c r="B139" s="143"/>
      <c r="C139" s="143"/>
      <c r="D139" s="143"/>
      <c r="E139" s="160" t="s">
        <v>791</v>
      </c>
      <c r="F139" s="266">
        <f>F132</f>
        <v>2915468066.6999998</v>
      </c>
      <c r="G139" s="266">
        <f>G132</f>
        <v>8035781554.6099997</v>
      </c>
      <c r="H139" s="266">
        <f>H132</f>
        <v>5120313487.9099998</v>
      </c>
    </row>
    <row r="140" spans="2:8" ht="20.100000000000001" customHeight="1">
      <c r="B140" s="143"/>
      <c r="C140" s="143"/>
      <c r="D140" s="143"/>
      <c r="E140" s="311" t="s">
        <v>65</v>
      </c>
      <c r="F140" s="266">
        <f>SUM(F135:F139)</f>
        <v>11966138376.610001</v>
      </c>
      <c r="G140" s="266">
        <f>SUM(G135:G139)</f>
        <v>33734118870.410004</v>
      </c>
      <c r="H140" s="266">
        <f>SUM(H135:H139)</f>
        <v>21767980493.799999</v>
      </c>
    </row>
    <row r="141" spans="2:8" ht="24.95" customHeight="1"/>
    <row r="142" spans="2:8" ht="24.95" hidden="1" customHeight="1">
      <c r="F142" s="377">
        <f>F140-F116-F105-F79-F70</f>
        <v>10938232875.74</v>
      </c>
      <c r="H142" s="150"/>
    </row>
    <row r="143" spans="2:8" ht="24.95" customHeight="1"/>
    <row r="144" spans="2:8" ht="24.95" customHeight="1">
      <c r="E144" s="377"/>
      <c r="F144" s="401"/>
      <c r="G144" s="401"/>
    </row>
    <row r="145" spans="1:9" ht="24.95" customHeight="1">
      <c r="E145" s="377"/>
    </row>
    <row r="146" spans="1:9" ht="24.95" customHeight="1"/>
    <row r="147" spans="1:9" ht="24.95" customHeight="1"/>
    <row r="148" spans="1:9" ht="24.95" customHeight="1"/>
    <row r="149" spans="1:9" ht="24.95" customHeight="1"/>
    <row r="150" spans="1:9" s="15" customFormat="1" ht="24.95" customHeight="1">
      <c r="A150" s="170"/>
      <c r="B150" s="170"/>
      <c r="C150" s="170"/>
      <c r="D150" s="170"/>
      <c r="E150" s="360"/>
      <c r="F150" s="377"/>
      <c r="G150" s="377"/>
      <c r="H150" s="170"/>
      <c r="I150" s="142"/>
    </row>
    <row r="151" spans="1:9" s="15" customFormat="1" ht="24.95" customHeight="1">
      <c r="A151" s="170"/>
      <c r="B151" s="170"/>
      <c r="C151" s="170"/>
      <c r="D151" s="170"/>
      <c r="E151" s="360"/>
      <c r="F151" s="377"/>
      <c r="G151" s="377"/>
      <c r="H151" s="170"/>
      <c r="I151" s="142"/>
    </row>
    <row r="152" spans="1:9" s="15" customFormat="1" ht="24.95" customHeight="1">
      <c r="A152" s="170"/>
      <c r="B152" s="170"/>
      <c r="C152" s="170"/>
      <c r="D152" s="170"/>
      <c r="E152" s="360"/>
      <c r="F152" s="377"/>
      <c r="G152" s="377"/>
      <c r="H152" s="170"/>
      <c r="I152" s="142"/>
    </row>
    <row r="153" spans="1:9" s="15" customFormat="1" ht="24.95" customHeight="1">
      <c r="A153" s="170"/>
      <c r="B153" s="170"/>
      <c r="C153" s="170"/>
      <c r="D153" s="170"/>
      <c r="E153" s="360"/>
      <c r="F153" s="377"/>
      <c r="G153" s="377"/>
      <c r="H153" s="170"/>
      <c r="I153" s="142"/>
    </row>
    <row r="154" spans="1:9" s="15" customFormat="1" ht="24.95" customHeight="1">
      <c r="A154" s="170"/>
      <c r="B154" s="170"/>
      <c r="C154" s="170"/>
      <c r="D154" s="170"/>
      <c r="E154" s="360"/>
      <c r="F154" s="377"/>
      <c r="G154" s="377"/>
      <c r="H154" s="170"/>
      <c r="I154" s="142"/>
    </row>
    <row r="155" spans="1:9" s="15" customFormat="1" ht="24.95" customHeight="1">
      <c r="A155" s="170"/>
      <c r="B155" s="170"/>
      <c r="C155" s="170"/>
      <c r="D155" s="170"/>
      <c r="E155" s="360"/>
      <c r="F155" s="377"/>
      <c r="G155" s="377"/>
      <c r="H155" s="170"/>
      <c r="I155" s="142"/>
    </row>
    <row r="156" spans="1:9" s="15" customFormat="1" ht="24.95" customHeight="1">
      <c r="A156" s="170"/>
      <c r="B156" s="170"/>
      <c r="C156" s="170"/>
      <c r="D156" s="170"/>
      <c r="E156" s="360"/>
      <c r="F156" s="377"/>
      <c r="G156" s="377"/>
      <c r="H156" s="170"/>
      <c r="I156" s="142"/>
    </row>
    <row r="157" spans="1:9" s="15" customFormat="1" ht="24.95" customHeight="1">
      <c r="A157" s="170"/>
      <c r="B157" s="170"/>
      <c r="C157" s="170"/>
      <c r="D157" s="170"/>
      <c r="E157" s="360"/>
      <c r="F157" s="377"/>
      <c r="G157" s="377"/>
      <c r="H157" s="170"/>
      <c r="I157" s="142"/>
    </row>
    <row r="158" spans="1:9" s="15" customFormat="1" ht="24.95" customHeight="1">
      <c r="A158" s="170"/>
      <c r="B158" s="170"/>
      <c r="C158" s="170"/>
      <c r="D158" s="170"/>
      <c r="E158" s="360"/>
      <c r="F158" s="377"/>
      <c r="G158" s="377"/>
      <c r="H158" s="170"/>
      <c r="I158" s="142"/>
    </row>
    <row r="159" spans="1:9" s="15" customFormat="1" ht="24.95" customHeight="1">
      <c r="A159" s="170"/>
      <c r="B159" s="170"/>
      <c r="C159" s="170"/>
      <c r="D159" s="170"/>
      <c r="E159" s="360"/>
      <c r="F159" s="377"/>
      <c r="G159" s="377"/>
      <c r="H159" s="170"/>
      <c r="I159" s="142"/>
    </row>
    <row r="160" spans="1:9" s="15" customFormat="1" ht="24.95" customHeight="1">
      <c r="A160" s="170"/>
      <c r="B160" s="170"/>
      <c r="C160" s="170"/>
      <c r="D160" s="170"/>
      <c r="E160" s="360"/>
      <c r="F160" s="377"/>
      <c r="G160" s="377"/>
      <c r="H160" s="170"/>
      <c r="I160" s="142"/>
    </row>
    <row r="161" spans="1:9" s="15" customFormat="1" ht="24.95" customHeight="1">
      <c r="A161" s="170"/>
      <c r="B161" s="170"/>
      <c r="C161" s="170"/>
      <c r="D161" s="170"/>
      <c r="E161" s="360"/>
      <c r="F161" s="377"/>
      <c r="G161" s="377"/>
      <c r="H161" s="170"/>
      <c r="I161" s="142"/>
    </row>
    <row r="162" spans="1:9" s="15" customFormat="1" ht="24.95" customHeight="1">
      <c r="A162" s="170"/>
      <c r="B162" s="170"/>
      <c r="C162" s="170"/>
      <c r="D162" s="170"/>
      <c r="E162" s="360"/>
      <c r="F162" s="377"/>
      <c r="G162" s="377"/>
      <c r="H162" s="170"/>
      <c r="I162" s="142"/>
    </row>
    <row r="163" spans="1:9" s="15" customFormat="1" ht="24.95" customHeight="1">
      <c r="A163" s="170"/>
      <c r="B163" s="170"/>
      <c r="C163" s="170"/>
      <c r="D163" s="170"/>
      <c r="E163" s="360"/>
      <c r="F163" s="377"/>
      <c r="G163" s="377"/>
      <c r="H163" s="170"/>
      <c r="I163" s="142"/>
    </row>
    <row r="164" spans="1:9" s="15" customFormat="1" ht="24.95" customHeight="1">
      <c r="A164" s="170"/>
      <c r="B164" s="170"/>
      <c r="C164" s="170"/>
      <c r="D164" s="170"/>
      <c r="E164" s="360"/>
      <c r="F164" s="377"/>
      <c r="G164" s="377"/>
      <c r="H164" s="170"/>
      <c r="I164" s="142"/>
    </row>
    <row r="165" spans="1:9" s="15" customFormat="1" ht="24.95" customHeight="1">
      <c r="A165" s="170"/>
      <c r="B165" s="170"/>
      <c r="C165" s="170"/>
      <c r="D165" s="170"/>
      <c r="E165" s="360"/>
      <c r="F165" s="377"/>
      <c r="G165" s="377"/>
      <c r="H165" s="170"/>
      <c r="I165" s="142"/>
    </row>
    <row r="166" spans="1:9" s="15" customFormat="1" ht="24.95" customHeight="1">
      <c r="A166" s="170"/>
      <c r="B166" s="170"/>
      <c r="C166" s="170"/>
      <c r="D166" s="170"/>
      <c r="E166" s="360"/>
      <c r="F166" s="377"/>
      <c r="G166" s="377"/>
      <c r="H166" s="170"/>
      <c r="I166" s="142"/>
    </row>
    <row r="167" spans="1:9" s="15" customFormat="1" ht="24.95" customHeight="1">
      <c r="A167" s="170"/>
      <c r="B167" s="170"/>
      <c r="C167" s="170"/>
      <c r="D167" s="170"/>
      <c r="E167" s="360"/>
      <c r="F167" s="377"/>
      <c r="G167" s="377"/>
      <c r="H167" s="170"/>
      <c r="I167" s="142"/>
    </row>
    <row r="168" spans="1:9" s="15" customFormat="1" ht="24.95" customHeight="1">
      <c r="A168" s="170"/>
      <c r="B168" s="170"/>
      <c r="C168" s="170"/>
      <c r="D168" s="170"/>
      <c r="E168" s="360"/>
      <c r="F168" s="377"/>
      <c r="G168" s="377"/>
      <c r="H168" s="170"/>
      <c r="I168" s="142"/>
    </row>
    <row r="169" spans="1:9" s="15" customFormat="1" ht="24.95" customHeight="1">
      <c r="A169" s="170"/>
      <c r="B169" s="170"/>
      <c r="C169" s="170"/>
      <c r="D169" s="170"/>
      <c r="E169" s="360"/>
      <c r="F169" s="377"/>
      <c r="G169" s="377"/>
      <c r="H169" s="170"/>
      <c r="I169" s="142"/>
    </row>
    <row r="170" spans="1:9" s="15" customFormat="1" ht="24.95" customHeight="1">
      <c r="A170" s="170"/>
      <c r="B170" s="170"/>
      <c r="C170" s="170"/>
      <c r="D170" s="170"/>
      <c r="E170" s="360"/>
      <c r="F170" s="377"/>
      <c r="G170" s="377"/>
      <c r="H170" s="170"/>
      <c r="I170" s="142"/>
    </row>
    <row r="171" spans="1:9" s="15" customFormat="1" ht="24.95" customHeight="1">
      <c r="A171" s="170"/>
      <c r="B171" s="170"/>
      <c r="C171" s="170"/>
      <c r="D171" s="170"/>
      <c r="E171" s="360"/>
      <c r="F171" s="377"/>
      <c r="G171" s="377"/>
      <c r="H171" s="170"/>
      <c r="I171" s="142"/>
    </row>
    <row r="172" spans="1:9" s="15" customFormat="1" ht="24.95" customHeight="1">
      <c r="A172" s="170"/>
      <c r="B172" s="170"/>
      <c r="C172" s="170"/>
      <c r="D172" s="170"/>
      <c r="E172" s="360"/>
      <c r="F172" s="377"/>
      <c r="G172" s="377"/>
      <c r="H172" s="170"/>
      <c r="I172" s="142"/>
    </row>
    <row r="173" spans="1:9" s="15" customFormat="1" ht="24.95" customHeight="1">
      <c r="A173" s="170"/>
      <c r="B173" s="170"/>
      <c r="C173" s="170"/>
      <c r="D173" s="170"/>
      <c r="E173" s="360"/>
      <c r="F173" s="377"/>
      <c r="G173" s="377"/>
      <c r="H173" s="170"/>
      <c r="I173" s="142"/>
    </row>
    <row r="174" spans="1:9" s="15" customFormat="1" ht="24.95" customHeight="1">
      <c r="A174" s="170"/>
      <c r="B174" s="170"/>
      <c r="C174" s="170"/>
      <c r="D174" s="170"/>
      <c r="E174" s="360"/>
      <c r="F174" s="377"/>
      <c r="G174" s="377"/>
      <c r="H174" s="170"/>
      <c r="I174" s="142"/>
    </row>
    <row r="175" spans="1:9" s="15" customFormat="1" ht="24.95" customHeight="1">
      <c r="A175" s="170"/>
      <c r="B175" s="170"/>
      <c r="C175" s="170"/>
      <c r="D175" s="170"/>
      <c r="E175" s="360"/>
      <c r="F175" s="377"/>
      <c r="G175" s="377"/>
      <c r="H175" s="170"/>
      <c r="I175" s="142"/>
    </row>
    <row r="176" spans="1:9" s="15" customFormat="1" ht="24.95" customHeight="1">
      <c r="A176" s="170"/>
      <c r="B176" s="170"/>
      <c r="C176" s="170"/>
      <c r="D176" s="170"/>
      <c r="E176" s="360"/>
      <c r="F176" s="377"/>
      <c r="G176" s="377"/>
      <c r="H176" s="170"/>
      <c r="I176" s="142"/>
    </row>
    <row r="177" spans="1:9" s="15" customFormat="1" ht="24.95" customHeight="1">
      <c r="A177" s="170"/>
      <c r="B177" s="170"/>
      <c r="C177" s="170"/>
      <c r="D177" s="170"/>
      <c r="E177" s="360"/>
      <c r="F177" s="377"/>
      <c r="G177" s="377"/>
      <c r="H177" s="170"/>
      <c r="I177" s="142"/>
    </row>
    <row r="178" spans="1:9" s="15" customFormat="1" ht="24.95" customHeight="1">
      <c r="A178" s="170"/>
      <c r="B178" s="170"/>
      <c r="C178" s="170"/>
      <c r="D178" s="170"/>
      <c r="E178" s="360"/>
      <c r="F178" s="377"/>
      <c r="G178" s="377"/>
      <c r="H178" s="170"/>
      <c r="I178" s="142"/>
    </row>
    <row r="179" spans="1:9" s="15" customFormat="1" ht="24.95" customHeight="1">
      <c r="A179" s="170"/>
      <c r="B179" s="170"/>
      <c r="C179" s="170"/>
      <c r="D179" s="170"/>
      <c r="E179" s="360"/>
      <c r="F179" s="377"/>
      <c r="G179" s="377"/>
      <c r="H179" s="170"/>
      <c r="I179" s="142"/>
    </row>
    <row r="180" spans="1:9" s="15" customFormat="1" ht="24.95" customHeight="1">
      <c r="A180" s="170"/>
      <c r="B180" s="170"/>
      <c r="C180" s="170"/>
      <c r="D180" s="170"/>
      <c r="E180" s="360"/>
      <c r="F180" s="377"/>
      <c r="G180" s="377"/>
      <c r="H180" s="170"/>
      <c r="I180" s="142"/>
    </row>
    <row r="181" spans="1:9" s="15" customFormat="1" ht="24.95" customHeight="1">
      <c r="A181" s="170"/>
      <c r="B181" s="170"/>
      <c r="C181" s="170"/>
      <c r="D181" s="170"/>
      <c r="E181" s="360"/>
      <c r="F181" s="377"/>
      <c r="G181" s="377"/>
      <c r="H181" s="170"/>
      <c r="I181" s="142"/>
    </row>
    <row r="182" spans="1:9" s="15" customFormat="1" ht="24.95" customHeight="1">
      <c r="A182" s="170"/>
      <c r="B182" s="170"/>
      <c r="C182" s="170"/>
      <c r="D182" s="170"/>
      <c r="E182" s="360"/>
      <c r="F182" s="377"/>
      <c r="G182" s="377"/>
      <c r="H182" s="170"/>
      <c r="I182" s="142"/>
    </row>
    <row r="183" spans="1:9" s="15" customFormat="1" ht="24.95" customHeight="1">
      <c r="A183" s="170"/>
      <c r="B183" s="170"/>
      <c r="C183" s="170"/>
      <c r="D183" s="170"/>
      <c r="E183" s="360"/>
      <c r="F183" s="377"/>
      <c r="G183" s="377"/>
      <c r="H183" s="170"/>
      <c r="I183" s="142"/>
    </row>
    <row r="184" spans="1:9" s="15" customFormat="1" ht="24.95" customHeight="1">
      <c r="A184" s="170"/>
      <c r="B184" s="170"/>
      <c r="C184" s="170"/>
      <c r="D184" s="170"/>
      <c r="E184" s="360"/>
      <c r="F184" s="377"/>
      <c r="G184" s="377"/>
      <c r="H184" s="170"/>
      <c r="I184" s="142"/>
    </row>
    <row r="185" spans="1:9" s="15" customFormat="1" ht="24.95" customHeight="1">
      <c r="A185" s="170"/>
      <c r="B185" s="170"/>
      <c r="C185" s="170"/>
      <c r="D185" s="170"/>
      <c r="E185" s="360"/>
      <c r="F185" s="377"/>
      <c r="G185" s="377"/>
      <c r="H185" s="170"/>
      <c r="I185" s="142"/>
    </row>
    <row r="186" spans="1:9" s="15" customFormat="1" ht="24.95" customHeight="1">
      <c r="A186" s="170"/>
      <c r="B186" s="170"/>
      <c r="C186" s="170"/>
      <c r="D186" s="170"/>
      <c r="E186" s="360"/>
      <c r="F186" s="377"/>
      <c r="G186" s="377"/>
      <c r="H186" s="170"/>
      <c r="I186" s="142"/>
    </row>
    <row r="187" spans="1:9" s="15" customFormat="1" ht="24.95" customHeight="1">
      <c r="A187" s="170"/>
      <c r="B187" s="170"/>
      <c r="C187" s="170"/>
      <c r="D187" s="170"/>
      <c r="E187" s="360"/>
      <c r="F187" s="377"/>
      <c r="G187" s="377"/>
      <c r="H187" s="170"/>
      <c r="I187" s="142"/>
    </row>
    <row r="188" spans="1:9" s="15" customFormat="1" ht="24.95" customHeight="1">
      <c r="A188" s="170"/>
      <c r="B188" s="170"/>
      <c r="C188" s="170"/>
      <c r="D188" s="170"/>
      <c r="E188" s="360"/>
      <c r="F188" s="377"/>
      <c r="G188" s="377"/>
      <c r="H188" s="170"/>
      <c r="I188" s="142"/>
    </row>
    <row r="189" spans="1:9" s="15" customFormat="1" ht="24.95" customHeight="1">
      <c r="A189" s="170"/>
      <c r="B189" s="170"/>
      <c r="C189" s="170"/>
      <c r="D189" s="170"/>
      <c r="E189" s="360"/>
      <c r="F189" s="377"/>
      <c r="G189" s="377"/>
      <c r="H189" s="170"/>
      <c r="I189" s="142"/>
    </row>
    <row r="190" spans="1:9" s="15" customFormat="1" ht="24.95" customHeight="1">
      <c r="A190" s="170"/>
      <c r="B190" s="170"/>
      <c r="C190" s="170"/>
      <c r="D190" s="170"/>
      <c r="E190" s="360"/>
      <c r="F190" s="377"/>
      <c r="G190" s="377"/>
      <c r="H190" s="170"/>
      <c r="I190" s="142"/>
    </row>
    <row r="191" spans="1:9" s="15" customFormat="1" ht="24.95" customHeight="1">
      <c r="A191" s="170"/>
      <c r="B191" s="170"/>
      <c r="C191" s="170"/>
      <c r="D191" s="170"/>
      <c r="E191" s="360"/>
      <c r="F191" s="377"/>
      <c r="G191" s="377"/>
      <c r="H191" s="170"/>
      <c r="I191" s="142"/>
    </row>
    <row r="192" spans="1:9" s="15" customFormat="1" ht="24.95" customHeight="1">
      <c r="A192" s="170"/>
      <c r="B192" s="170"/>
      <c r="C192" s="170"/>
      <c r="D192" s="170"/>
      <c r="E192" s="360"/>
      <c r="F192" s="377"/>
      <c r="G192" s="377"/>
      <c r="H192" s="170"/>
      <c r="I192" s="142"/>
    </row>
    <row r="193" spans="1:9" s="15" customFormat="1" ht="24.95" customHeight="1">
      <c r="A193" s="170"/>
      <c r="B193" s="170"/>
      <c r="C193" s="170"/>
      <c r="D193" s="170"/>
      <c r="E193" s="360"/>
      <c r="F193" s="377"/>
      <c r="G193" s="377"/>
      <c r="H193" s="170"/>
      <c r="I193" s="142"/>
    </row>
    <row r="194" spans="1:9" s="15" customFormat="1" ht="24.95" customHeight="1">
      <c r="A194" s="170"/>
      <c r="B194" s="170"/>
      <c r="C194" s="170"/>
      <c r="D194" s="170"/>
      <c r="E194" s="360"/>
      <c r="F194" s="377"/>
      <c r="G194" s="377"/>
      <c r="H194" s="170"/>
      <c r="I194" s="142"/>
    </row>
    <row r="195" spans="1:9" s="15" customFormat="1" ht="24.95" customHeight="1">
      <c r="A195" s="170"/>
      <c r="B195" s="170"/>
      <c r="C195" s="170"/>
      <c r="D195" s="170"/>
      <c r="E195" s="360"/>
      <c r="F195" s="377"/>
      <c r="G195" s="377"/>
      <c r="H195" s="170"/>
      <c r="I195" s="142"/>
    </row>
    <row r="196" spans="1:9" s="15" customFormat="1" ht="24.95" customHeight="1">
      <c r="A196" s="170"/>
      <c r="B196" s="170"/>
      <c r="C196" s="170"/>
      <c r="D196" s="170"/>
      <c r="E196" s="360"/>
      <c r="F196" s="377"/>
      <c r="G196" s="377"/>
      <c r="H196" s="170"/>
      <c r="I196" s="142"/>
    </row>
    <row r="197" spans="1:9" s="15" customFormat="1" ht="24.95" customHeight="1">
      <c r="A197" s="170"/>
      <c r="B197" s="170"/>
      <c r="C197" s="170"/>
      <c r="D197" s="170"/>
      <c r="E197" s="360"/>
      <c r="F197" s="377"/>
      <c r="G197" s="377"/>
      <c r="H197" s="170"/>
      <c r="I197" s="142"/>
    </row>
    <row r="198" spans="1:9" s="15" customFormat="1" ht="24.95" customHeight="1">
      <c r="A198" s="170"/>
      <c r="B198" s="170"/>
      <c r="C198" s="170"/>
      <c r="D198" s="170"/>
      <c r="E198" s="360"/>
      <c r="F198" s="377"/>
      <c r="G198" s="377"/>
      <c r="H198" s="170"/>
      <c r="I198" s="142"/>
    </row>
    <row r="199" spans="1:9" s="15" customFormat="1" ht="24.95" customHeight="1">
      <c r="A199" s="170"/>
      <c r="B199" s="170"/>
      <c r="C199" s="170"/>
      <c r="D199" s="170"/>
      <c r="E199" s="360"/>
      <c r="F199" s="377"/>
      <c r="G199" s="377"/>
      <c r="H199" s="170"/>
      <c r="I199" s="142"/>
    </row>
    <row r="200" spans="1:9" s="15" customFormat="1" ht="24.95" customHeight="1">
      <c r="A200" s="170"/>
      <c r="B200" s="170"/>
      <c r="C200" s="170"/>
      <c r="D200" s="170"/>
      <c r="E200" s="360"/>
      <c r="F200" s="377"/>
      <c r="G200" s="377"/>
      <c r="H200" s="170"/>
      <c r="I200" s="142"/>
    </row>
    <row r="201" spans="1:9" s="15" customFormat="1" ht="24.95" customHeight="1">
      <c r="A201" s="170"/>
      <c r="B201" s="170"/>
      <c r="C201" s="170"/>
      <c r="D201" s="170"/>
      <c r="E201" s="360"/>
      <c r="F201" s="377"/>
      <c r="G201" s="377"/>
      <c r="H201" s="170"/>
      <c r="I201" s="142"/>
    </row>
    <row r="202" spans="1:9" s="15" customFormat="1" ht="24.95" customHeight="1">
      <c r="A202" s="170"/>
      <c r="B202" s="170"/>
      <c r="C202" s="170"/>
      <c r="D202" s="170"/>
      <c r="E202" s="360"/>
      <c r="F202" s="377"/>
      <c r="G202" s="377"/>
      <c r="H202" s="170"/>
      <c r="I202" s="142"/>
    </row>
    <row r="203" spans="1:9" s="15" customFormat="1" ht="24.95" customHeight="1">
      <c r="A203" s="170"/>
      <c r="B203" s="170"/>
      <c r="C203" s="170"/>
      <c r="D203" s="170"/>
      <c r="E203" s="360"/>
      <c r="F203" s="377"/>
      <c r="G203" s="377"/>
      <c r="H203" s="170"/>
      <c r="I203" s="142"/>
    </row>
    <row r="204" spans="1:9" s="15" customFormat="1" ht="24.95" customHeight="1">
      <c r="A204" s="170"/>
      <c r="B204" s="170"/>
      <c r="C204" s="170"/>
      <c r="D204" s="170"/>
      <c r="E204" s="360"/>
      <c r="F204" s="377"/>
      <c r="G204" s="377"/>
      <c r="H204" s="170"/>
      <c r="I204" s="142"/>
    </row>
    <row r="205" spans="1:9" s="15" customFormat="1" ht="24.95" customHeight="1">
      <c r="A205" s="170"/>
      <c r="B205" s="170"/>
      <c r="C205" s="170"/>
      <c r="D205" s="170"/>
      <c r="E205" s="360"/>
      <c r="F205" s="377"/>
      <c r="G205" s="377"/>
      <c r="H205" s="170"/>
      <c r="I205" s="142"/>
    </row>
    <row r="206" spans="1:9" s="15" customFormat="1" ht="24.95" customHeight="1">
      <c r="A206" s="170"/>
      <c r="B206" s="170"/>
      <c r="C206" s="170"/>
      <c r="D206" s="170"/>
      <c r="E206" s="360"/>
      <c r="F206" s="377"/>
      <c r="G206" s="377"/>
      <c r="H206" s="170"/>
      <c r="I206" s="142"/>
    </row>
    <row r="207" spans="1:9" s="15" customFormat="1" ht="24.95" customHeight="1">
      <c r="A207" s="170"/>
      <c r="B207" s="170"/>
      <c r="C207" s="170"/>
      <c r="D207" s="170"/>
      <c r="E207" s="360"/>
      <c r="F207" s="377"/>
      <c r="G207" s="377"/>
      <c r="H207" s="170"/>
      <c r="I207" s="142"/>
    </row>
    <row r="208" spans="1:9" s="15" customFormat="1" ht="24.95" customHeight="1">
      <c r="A208" s="170"/>
      <c r="B208" s="170"/>
      <c r="C208" s="170"/>
      <c r="D208" s="170"/>
      <c r="E208" s="360"/>
      <c r="F208" s="377"/>
      <c r="G208" s="377"/>
      <c r="H208" s="170"/>
      <c r="I208" s="142"/>
    </row>
    <row r="209" spans="1:9" s="15" customFormat="1" ht="24.95" customHeight="1">
      <c r="A209" s="170"/>
      <c r="B209" s="170"/>
      <c r="C209" s="170"/>
      <c r="D209" s="170"/>
      <c r="E209" s="360"/>
      <c r="F209" s="377"/>
      <c r="G209" s="377"/>
      <c r="H209" s="170"/>
      <c r="I209" s="142"/>
    </row>
  </sheetData>
  <mergeCells count="4">
    <mergeCell ref="B1:H1"/>
    <mergeCell ref="B2:H2"/>
    <mergeCell ref="B3:H3"/>
    <mergeCell ref="B4:H4"/>
  </mergeCells>
  <pageMargins left="0.5" right="0.5" top="0.75" bottom="0.5" header="0.3" footer="0.5"/>
  <pageSetup paperSize="9" firstPageNumber="78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opLeftCell="A9" zoomScale="106" zoomScaleNormal="106" workbookViewId="0">
      <selection activeCell="C20" sqref="C20"/>
    </sheetView>
  </sheetViews>
  <sheetFormatPr defaultRowHeight="15"/>
  <cols>
    <col min="1" max="1" width="2.85546875" style="142" customWidth="1"/>
    <col min="2" max="2" width="7.28515625" style="170" customWidth="1"/>
    <col min="3" max="3" width="74.140625" style="402" customWidth="1"/>
    <col min="4" max="4" width="44.42578125" style="268" hidden="1" customWidth="1"/>
    <col min="5" max="5" width="45.5703125" style="151" customWidth="1"/>
    <col min="6" max="6" width="9.140625" style="142"/>
    <col min="7" max="7" width="11.7109375" bestFit="1" customWidth="1"/>
  </cols>
  <sheetData>
    <row r="1" spans="1:11" s="108" customFormat="1" ht="21.95" customHeight="1">
      <c r="A1" s="142"/>
      <c r="B1" s="599" t="s">
        <v>0</v>
      </c>
      <c r="C1" s="599"/>
      <c r="D1" s="599"/>
      <c r="E1" s="599"/>
      <c r="F1" s="269"/>
      <c r="G1" s="106"/>
      <c r="H1" s="106"/>
      <c r="I1" s="16"/>
      <c r="J1" s="16"/>
    </row>
    <row r="2" spans="1:11" s="108" customFormat="1" ht="21.95" customHeight="1">
      <c r="A2" s="142"/>
      <c r="B2" s="600" t="s">
        <v>1571</v>
      </c>
      <c r="C2" s="600"/>
      <c r="D2" s="600"/>
      <c r="E2" s="600"/>
      <c r="F2" s="270"/>
      <c r="G2" s="107"/>
      <c r="H2" s="107"/>
      <c r="I2" s="16"/>
      <c r="J2" s="16"/>
    </row>
    <row r="3" spans="1:11" s="108" customFormat="1" ht="21.95" customHeight="1">
      <c r="A3" s="142"/>
      <c r="B3" s="600" t="s">
        <v>336</v>
      </c>
      <c r="C3" s="600"/>
      <c r="D3" s="600"/>
      <c r="E3" s="600"/>
      <c r="F3" s="270"/>
      <c r="G3" s="107"/>
      <c r="H3" s="107"/>
      <c r="I3" s="109"/>
      <c r="J3" s="109"/>
      <c r="K3" s="109"/>
    </row>
    <row r="4" spans="1:11" s="108" customFormat="1" ht="21.95" customHeight="1">
      <c r="A4" s="142"/>
      <c r="B4" s="599" t="s">
        <v>1531</v>
      </c>
      <c r="C4" s="599"/>
      <c r="D4" s="599"/>
      <c r="E4" s="599"/>
      <c r="F4" s="269"/>
      <c r="G4" s="106"/>
      <c r="H4" s="106"/>
      <c r="I4" s="110"/>
      <c r="J4" s="110"/>
      <c r="K4" s="110"/>
    </row>
    <row r="5" spans="1:11" ht="12.75" customHeight="1"/>
    <row r="6" spans="1:11" ht="30" customHeight="1">
      <c r="B6" s="179" t="s">
        <v>87</v>
      </c>
      <c r="C6" s="403" t="s">
        <v>894</v>
      </c>
      <c r="D6" s="179" t="s">
        <v>1358</v>
      </c>
      <c r="E6" s="284" t="s">
        <v>1474</v>
      </c>
    </row>
    <row r="7" spans="1:11" ht="30" customHeight="1">
      <c r="B7" s="368">
        <v>1</v>
      </c>
      <c r="C7" s="376" t="s">
        <v>880</v>
      </c>
      <c r="D7" s="368" t="s">
        <v>896</v>
      </c>
      <c r="E7" s="264">
        <f>2977046344.89+489002020.92</f>
        <v>3466048365.8099999</v>
      </c>
    </row>
    <row r="8" spans="1:11" ht="30" customHeight="1">
      <c r="B8" s="368">
        <v>2</v>
      </c>
      <c r="C8" s="376" t="s">
        <v>595</v>
      </c>
      <c r="D8" s="368" t="s">
        <v>896</v>
      </c>
      <c r="E8" s="331">
        <v>81641422.189999998</v>
      </c>
    </row>
    <row r="9" spans="1:11" s="26" customFormat="1" ht="30" customHeight="1">
      <c r="A9" s="263"/>
      <c r="B9" s="368">
        <v>3</v>
      </c>
      <c r="C9" s="376" t="s">
        <v>974</v>
      </c>
      <c r="D9" s="368" t="s">
        <v>896</v>
      </c>
      <c r="E9" s="264">
        <v>6120000000</v>
      </c>
      <c r="F9" s="263"/>
    </row>
    <row r="10" spans="1:11" s="26" customFormat="1" ht="30" customHeight="1">
      <c r="A10" s="263"/>
      <c r="B10" s="368">
        <v>4</v>
      </c>
      <c r="C10" s="376" t="s">
        <v>1645</v>
      </c>
      <c r="D10" s="368"/>
      <c r="E10" s="264">
        <v>41861353.079999998</v>
      </c>
      <c r="F10" s="263"/>
    </row>
    <row r="11" spans="1:11" s="10" customFormat="1" ht="30" customHeight="1">
      <c r="A11" s="241"/>
      <c r="B11" s="179"/>
      <c r="C11" s="404" t="s">
        <v>65</v>
      </c>
      <c r="D11" s="403"/>
      <c r="E11" s="155">
        <f>SUM(E7:E10)</f>
        <v>9709551141.0799999</v>
      </c>
      <c r="F11" s="241"/>
    </row>
    <row r="12" spans="1:11" ht="32.25" customHeight="1"/>
    <row r="13" spans="1:11" ht="18.75">
      <c r="B13" s="614" t="s">
        <v>1532</v>
      </c>
      <c r="C13" s="614"/>
      <c r="D13" s="614"/>
      <c r="E13" s="614"/>
    </row>
    <row r="14" spans="1:11" ht="7.5" customHeight="1"/>
    <row r="15" spans="1:11" ht="30" customHeight="1">
      <c r="B15" s="179" t="s">
        <v>87</v>
      </c>
      <c r="C15" s="403" t="s">
        <v>693</v>
      </c>
      <c r="D15" s="179" t="s">
        <v>895</v>
      </c>
      <c r="E15" s="284" t="s">
        <v>1474</v>
      </c>
    </row>
    <row r="16" spans="1:11" ht="30" customHeight="1">
      <c r="B16" s="368">
        <v>1</v>
      </c>
      <c r="C16" s="376" t="s">
        <v>1520</v>
      </c>
      <c r="D16" s="368" t="s">
        <v>897</v>
      </c>
      <c r="E16" s="264">
        <v>287500000</v>
      </c>
    </row>
    <row r="17" spans="1:6" s="132" customFormat="1" ht="30" customHeight="1">
      <c r="A17" s="142"/>
      <c r="B17" s="368">
        <v>2</v>
      </c>
      <c r="C17" s="376" t="s">
        <v>1412</v>
      </c>
      <c r="D17" s="368"/>
      <c r="E17" s="264">
        <v>0</v>
      </c>
      <c r="F17" s="142"/>
    </row>
    <row r="18" spans="1:6" s="6" customFormat="1" ht="30" customHeight="1">
      <c r="A18" s="169"/>
      <c r="B18" s="154"/>
      <c r="C18" s="405" t="s">
        <v>65</v>
      </c>
      <c r="D18" s="203"/>
      <c r="E18" s="155">
        <f>E16+E17</f>
        <v>287500000</v>
      </c>
      <c r="F18" s="169"/>
    </row>
  </sheetData>
  <mergeCells count="5">
    <mergeCell ref="B1:E1"/>
    <mergeCell ref="B2:E2"/>
    <mergeCell ref="B3:E3"/>
    <mergeCell ref="B4:E4"/>
    <mergeCell ref="B13:E13"/>
  </mergeCells>
  <pageMargins left="0.5" right="0.5" top="0.75" bottom="0.5" header="0.3" footer="0.5"/>
  <pageSetup paperSize="9" firstPageNumber="84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"/>
  <sheetViews>
    <sheetView topLeftCell="A4" zoomScale="106" zoomScaleNormal="106" workbookViewId="0">
      <selection activeCell="B4" sqref="B4:E4"/>
    </sheetView>
  </sheetViews>
  <sheetFormatPr defaultRowHeight="15"/>
  <cols>
    <col min="1" max="1" width="2.85546875" style="142" customWidth="1"/>
    <col min="2" max="2" width="9.42578125" style="170" customWidth="1"/>
    <col min="3" max="3" width="41.28515625" style="360" customWidth="1"/>
    <col min="4" max="4" width="36.85546875" style="151" customWidth="1"/>
    <col min="5" max="5" width="36.5703125" style="171" customWidth="1"/>
    <col min="6" max="6" width="9.140625" style="142"/>
  </cols>
  <sheetData>
    <row r="1" spans="1:11" s="108" customFormat="1" ht="24.95" hidden="1" customHeight="1">
      <c r="A1" s="142"/>
      <c r="B1" s="599" t="s">
        <v>0</v>
      </c>
      <c r="C1" s="599"/>
      <c r="D1" s="599"/>
      <c r="E1" s="599"/>
      <c r="F1" s="269"/>
      <c r="G1" s="106"/>
      <c r="H1" s="106"/>
      <c r="I1" s="16"/>
      <c r="J1" s="16"/>
    </row>
    <row r="2" spans="1:11" s="108" customFormat="1" ht="24.95" hidden="1" customHeight="1">
      <c r="A2" s="142"/>
      <c r="B2" s="600" t="s">
        <v>1571</v>
      </c>
      <c r="C2" s="600"/>
      <c r="D2" s="600"/>
      <c r="E2" s="600"/>
      <c r="F2" s="270"/>
      <c r="G2" s="107"/>
      <c r="H2" s="107"/>
      <c r="I2" s="16"/>
      <c r="J2" s="16"/>
    </row>
    <row r="3" spans="1:11" s="108" customFormat="1" ht="24.95" hidden="1" customHeight="1">
      <c r="A3" s="142"/>
      <c r="B3" s="600" t="s">
        <v>336</v>
      </c>
      <c r="C3" s="600"/>
      <c r="D3" s="600"/>
      <c r="E3" s="600"/>
      <c r="F3" s="270"/>
      <c r="G3" s="107"/>
      <c r="H3" s="107"/>
      <c r="I3" s="109"/>
      <c r="J3" s="109"/>
      <c r="K3" s="109"/>
    </row>
    <row r="4" spans="1:11" s="108" customFormat="1" ht="24.95" customHeight="1">
      <c r="A4" s="142"/>
      <c r="B4" s="613" t="s">
        <v>2032</v>
      </c>
      <c r="C4" s="613"/>
      <c r="D4" s="613"/>
      <c r="E4" s="613"/>
      <c r="F4" s="269"/>
      <c r="G4" s="106"/>
      <c r="H4" s="106"/>
      <c r="I4" s="110"/>
      <c r="J4" s="110"/>
      <c r="K4" s="110"/>
    </row>
    <row r="5" spans="1:11" ht="12.75" customHeight="1">
      <c r="B5" s="361"/>
    </row>
    <row r="6" spans="1:11" ht="20.100000000000001" customHeight="1">
      <c r="B6" s="179" t="s">
        <v>87</v>
      </c>
      <c r="C6" s="190" t="s">
        <v>728</v>
      </c>
      <c r="D6" s="179" t="s">
        <v>858</v>
      </c>
      <c r="E6" s="179" t="s">
        <v>827</v>
      </c>
    </row>
    <row r="7" spans="1:11" ht="20.100000000000001" customHeight="1">
      <c r="B7" s="179"/>
      <c r="C7" s="190"/>
      <c r="D7" s="179"/>
      <c r="E7" s="182" t="s">
        <v>1458</v>
      </c>
    </row>
    <row r="8" spans="1:11" s="16" customFormat="1" ht="20.100000000000001" customHeight="1">
      <c r="A8" s="171"/>
      <c r="B8" s="143">
        <v>1</v>
      </c>
      <c r="C8" s="133" t="s">
        <v>859</v>
      </c>
      <c r="D8" s="134" t="s">
        <v>1607</v>
      </c>
      <c r="E8" s="264">
        <v>2053815.32</v>
      </c>
      <c r="F8" s="171"/>
    </row>
    <row r="9" spans="1:11" s="16" customFormat="1" ht="20.100000000000001" customHeight="1">
      <c r="A9" s="171"/>
      <c r="B9" s="143">
        <v>2</v>
      </c>
      <c r="C9" s="133" t="s">
        <v>859</v>
      </c>
      <c r="D9" s="134" t="s">
        <v>40</v>
      </c>
      <c r="E9" s="331">
        <v>363451753.64999998</v>
      </c>
      <c r="F9" s="171"/>
    </row>
    <row r="10" spans="1:11" s="16" customFormat="1" ht="20.100000000000001" customHeight="1">
      <c r="A10" s="171"/>
      <c r="B10" s="143">
        <v>3</v>
      </c>
      <c r="C10" s="133" t="s">
        <v>859</v>
      </c>
      <c r="D10" s="134" t="s">
        <v>860</v>
      </c>
      <c r="E10" s="331">
        <v>23993299.530000001</v>
      </c>
      <c r="F10" s="171"/>
    </row>
    <row r="11" spans="1:11" s="16" customFormat="1" ht="20.100000000000001" customHeight="1">
      <c r="A11" s="171"/>
      <c r="B11" s="143">
        <v>4</v>
      </c>
      <c r="C11" s="133" t="s">
        <v>859</v>
      </c>
      <c r="D11" s="134" t="s">
        <v>861</v>
      </c>
      <c r="E11" s="331">
        <v>1080928.74</v>
      </c>
      <c r="F11" s="171"/>
    </row>
    <row r="12" spans="1:11" s="16" customFormat="1" ht="20.100000000000001" customHeight="1">
      <c r="A12" s="171"/>
      <c r="B12" s="143">
        <v>5</v>
      </c>
      <c r="C12" s="133" t="s">
        <v>862</v>
      </c>
      <c r="D12" s="134" t="s">
        <v>1608</v>
      </c>
      <c r="E12" s="331">
        <v>1070781.29</v>
      </c>
      <c r="F12" s="171"/>
    </row>
    <row r="13" spans="1:11" s="16" customFormat="1" ht="20.100000000000001" customHeight="1">
      <c r="A13" s="171"/>
      <c r="B13" s="143">
        <v>6</v>
      </c>
      <c r="C13" s="133" t="s">
        <v>862</v>
      </c>
      <c r="D13" s="134" t="s">
        <v>1609</v>
      </c>
      <c r="E13" s="331">
        <v>1102831.23</v>
      </c>
      <c r="F13" s="171"/>
    </row>
    <row r="14" spans="1:11" s="16" customFormat="1" ht="20.100000000000001" customHeight="1">
      <c r="A14" s="171"/>
      <c r="B14" s="143">
        <v>7</v>
      </c>
      <c r="C14" s="133" t="s">
        <v>862</v>
      </c>
      <c r="D14" s="134" t="s">
        <v>1610</v>
      </c>
      <c r="E14" s="331">
        <v>420836.73</v>
      </c>
      <c r="F14" s="171"/>
    </row>
    <row r="15" spans="1:11" s="16" customFormat="1" ht="20.100000000000001" customHeight="1">
      <c r="A15" s="171"/>
      <c r="B15" s="143">
        <v>8</v>
      </c>
      <c r="C15" s="133" t="s">
        <v>862</v>
      </c>
      <c r="D15" s="134" t="s">
        <v>860</v>
      </c>
      <c r="E15" s="331">
        <v>550753.57999999996</v>
      </c>
      <c r="F15" s="171"/>
    </row>
    <row r="16" spans="1:11" s="16" customFormat="1" ht="20.100000000000001" customHeight="1">
      <c r="A16" s="171"/>
      <c r="B16" s="143">
        <v>9</v>
      </c>
      <c r="C16" s="133" t="s">
        <v>863</v>
      </c>
      <c r="D16" s="134" t="s">
        <v>1611</v>
      </c>
      <c r="E16" s="278">
        <v>164581218.22999999</v>
      </c>
      <c r="F16" s="171"/>
    </row>
    <row r="17" spans="1:6" s="17" customFormat="1" ht="20.100000000000001" customHeight="1">
      <c r="A17" s="251"/>
      <c r="B17" s="143">
        <v>10</v>
      </c>
      <c r="C17" s="133" t="s">
        <v>863</v>
      </c>
      <c r="D17" s="134" t="s">
        <v>1612</v>
      </c>
      <c r="E17" s="331">
        <v>201337657.63999999</v>
      </c>
      <c r="F17" s="251"/>
    </row>
    <row r="18" spans="1:6" s="17" customFormat="1" ht="20.100000000000001" customHeight="1">
      <c r="A18" s="251"/>
      <c r="B18" s="143">
        <v>11</v>
      </c>
      <c r="C18" s="133" t="s">
        <v>863</v>
      </c>
      <c r="D18" s="134" t="s">
        <v>1588</v>
      </c>
      <c r="E18" s="331">
        <v>2934271861.4400001</v>
      </c>
      <c r="F18" s="251"/>
    </row>
    <row r="19" spans="1:6" s="17" customFormat="1" ht="20.100000000000001" customHeight="1">
      <c r="A19" s="251"/>
      <c r="B19" s="143">
        <v>12</v>
      </c>
      <c r="C19" s="133" t="s">
        <v>733</v>
      </c>
      <c r="D19" s="134" t="s">
        <v>1613</v>
      </c>
      <c r="E19" s="331">
        <v>29739607.079999998</v>
      </c>
      <c r="F19" s="251"/>
    </row>
    <row r="20" spans="1:6" s="17" customFormat="1" ht="20.100000000000001" customHeight="1">
      <c r="A20" s="251"/>
      <c r="B20" s="143">
        <v>13</v>
      </c>
      <c r="C20" s="133" t="s">
        <v>729</v>
      </c>
      <c r="D20" s="134" t="s">
        <v>1614</v>
      </c>
      <c r="E20" s="331">
        <v>97062.5</v>
      </c>
      <c r="F20" s="251"/>
    </row>
    <row r="21" spans="1:6" s="17" customFormat="1" ht="20.100000000000001" customHeight="1">
      <c r="A21" s="251"/>
      <c r="B21" s="143">
        <v>14</v>
      </c>
      <c r="C21" s="133" t="s">
        <v>729</v>
      </c>
      <c r="D21" s="134" t="s">
        <v>730</v>
      </c>
      <c r="E21" s="331">
        <v>3303332.3</v>
      </c>
      <c r="F21" s="251"/>
    </row>
    <row r="22" spans="1:6" s="17" customFormat="1" ht="20.100000000000001" customHeight="1">
      <c r="A22" s="251"/>
      <c r="B22" s="143">
        <v>15</v>
      </c>
      <c r="C22" s="133" t="s">
        <v>729</v>
      </c>
      <c r="D22" s="134" t="s">
        <v>864</v>
      </c>
      <c r="E22" s="331">
        <v>629501.26</v>
      </c>
      <c r="F22" s="251"/>
    </row>
    <row r="23" spans="1:6" s="17" customFormat="1" ht="20.100000000000001" customHeight="1">
      <c r="A23" s="251"/>
      <c r="B23" s="143">
        <v>16</v>
      </c>
      <c r="C23" s="133" t="s">
        <v>865</v>
      </c>
      <c r="D23" s="134" t="s">
        <v>1615</v>
      </c>
      <c r="E23" s="331">
        <v>854156.52</v>
      </c>
      <c r="F23" s="251"/>
    </row>
    <row r="24" spans="1:6" s="17" customFormat="1" ht="20.100000000000001" customHeight="1">
      <c r="A24" s="251"/>
      <c r="B24" s="143">
        <v>17</v>
      </c>
      <c r="C24" s="133" t="s">
        <v>866</v>
      </c>
      <c r="D24" s="134" t="s">
        <v>1616</v>
      </c>
      <c r="E24" s="331">
        <v>9553725.1999999993</v>
      </c>
      <c r="F24" s="251"/>
    </row>
    <row r="25" spans="1:6" s="16" customFormat="1" ht="20.100000000000001" customHeight="1">
      <c r="A25" s="171"/>
      <c r="B25" s="143">
        <v>18</v>
      </c>
      <c r="C25" s="133" t="s">
        <v>866</v>
      </c>
      <c r="D25" s="134" t="s">
        <v>731</v>
      </c>
      <c r="E25" s="331">
        <v>33032651.949999999</v>
      </c>
      <c r="F25" s="171"/>
    </row>
    <row r="26" spans="1:6" s="16" customFormat="1" ht="20.100000000000001" customHeight="1">
      <c r="A26" s="171"/>
      <c r="B26" s="143">
        <v>19</v>
      </c>
      <c r="C26" s="133" t="s">
        <v>732</v>
      </c>
      <c r="D26" s="134" t="s">
        <v>867</v>
      </c>
      <c r="E26" s="331">
        <v>6383.76</v>
      </c>
      <c r="F26" s="171"/>
    </row>
    <row r="27" spans="1:6" s="16" customFormat="1" ht="20.100000000000001" customHeight="1">
      <c r="A27" s="171"/>
      <c r="B27" s="143">
        <v>20</v>
      </c>
      <c r="C27" s="133" t="s">
        <v>1599</v>
      </c>
      <c r="D27" s="134" t="s">
        <v>867</v>
      </c>
      <c r="E27" s="331">
        <v>39974646.079999998</v>
      </c>
      <c r="F27" s="171"/>
    </row>
    <row r="28" spans="1:6" s="16" customFormat="1" ht="20.100000000000001" customHeight="1">
      <c r="A28" s="171"/>
      <c r="B28" s="143">
        <v>21</v>
      </c>
      <c r="C28" s="133" t="s">
        <v>1599</v>
      </c>
      <c r="D28" s="134" t="s">
        <v>1617</v>
      </c>
      <c r="E28" s="331">
        <v>21791268.219999999</v>
      </c>
      <c r="F28" s="171"/>
    </row>
    <row r="29" spans="1:6" s="16" customFormat="1" ht="20.100000000000001" customHeight="1">
      <c r="A29" s="171"/>
      <c r="B29" s="143">
        <v>22</v>
      </c>
      <c r="C29" s="133" t="s">
        <v>1599</v>
      </c>
      <c r="D29" s="134" t="s">
        <v>1618</v>
      </c>
      <c r="E29" s="331">
        <v>6896298.3300000001</v>
      </c>
      <c r="F29" s="171"/>
    </row>
    <row r="30" spans="1:6" s="16" customFormat="1" ht="20.100000000000001" customHeight="1">
      <c r="A30" s="171"/>
      <c r="B30" s="143">
        <v>23</v>
      </c>
      <c r="C30" s="133" t="s">
        <v>1599</v>
      </c>
      <c r="D30" s="134" t="s">
        <v>1640</v>
      </c>
      <c r="E30" s="331">
        <v>121336637.05</v>
      </c>
      <c r="F30" s="171"/>
    </row>
    <row r="31" spans="1:6" s="16" customFormat="1" ht="20.100000000000001" customHeight="1">
      <c r="A31" s="171"/>
      <c r="B31" s="143">
        <v>24</v>
      </c>
      <c r="C31" s="133" t="s">
        <v>1599</v>
      </c>
      <c r="D31" s="134" t="s">
        <v>868</v>
      </c>
      <c r="E31" s="331">
        <v>2362476.62</v>
      </c>
      <c r="F31" s="171"/>
    </row>
    <row r="32" spans="1:6" s="16" customFormat="1" ht="20.100000000000001" customHeight="1">
      <c r="A32" s="171"/>
      <c r="B32" s="143">
        <v>25</v>
      </c>
      <c r="C32" s="133" t="s">
        <v>1599</v>
      </c>
      <c r="D32" s="134" t="s">
        <v>869</v>
      </c>
      <c r="E32" s="331">
        <v>30367961.850000001</v>
      </c>
      <c r="F32" s="171"/>
    </row>
    <row r="33" spans="1:6" s="16" customFormat="1" ht="20.100000000000001" customHeight="1">
      <c r="A33" s="171"/>
      <c r="B33" s="143">
        <v>26</v>
      </c>
      <c r="C33" s="133" t="s">
        <v>1599</v>
      </c>
      <c r="D33" s="134" t="s">
        <v>1619</v>
      </c>
      <c r="E33" s="331">
        <v>19609.689999999999</v>
      </c>
      <c r="F33" s="171"/>
    </row>
    <row r="34" spans="1:6" s="16" customFormat="1" ht="20.100000000000001" customHeight="1">
      <c r="A34" s="171"/>
      <c r="B34" s="143">
        <v>27</v>
      </c>
      <c r="C34" s="133" t="s">
        <v>1599</v>
      </c>
      <c r="D34" s="134" t="s">
        <v>1620</v>
      </c>
      <c r="E34" s="331">
        <v>1290.83</v>
      </c>
      <c r="F34" s="171"/>
    </row>
    <row r="35" spans="1:6" s="16" customFormat="1" ht="20.100000000000001" customHeight="1">
      <c r="A35" s="171"/>
      <c r="B35" s="143">
        <v>28</v>
      </c>
      <c r="C35" s="133" t="s">
        <v>734</v>
      </c>
      <c r="D35" s="134" t="s">
        <v>870</v>
      </c>
      <c r="E35" s="331">
        <v>19262.04</v>
      </c>
      <c r="F35" s="171"/>
    </row>
    <row r="36" spans="1:6" s="16" customFormat="1" ht="20.100000000000001" customHeight="1">
      <c r="A36" s="171"/>
      <c r="B36" s="143">
        <v>29</v>
      </c>
      <c r="C36" s="133" t="s">
        <v>734</v>
      </c>
      <c r="D36" s="134" t="s">
        <v>1621</v>
      </c>
      <c r="E36" s="331">
        <v>3471249.24</v>
      </c>
      <c r="F36" s="171"/>
    </row>
    <row r="37" spans="1:6" s="16" customFormat="1" ht="20.100000000000001" customHeight="1">
      <c r="A37" s="171"/>
      <c r="B37" s="143">
        <v>30</v>
      </c>
      <c r="C37" s="133" t="s">
        <v>1600</v>
      </c>
      <c r="D37" s="134" t="s">
        <v>1622</v>
      </c>
      <c r="E37" s="331">
        <v>17649821.260000002</v>
      </c>
      <c r="F37" s="171"/>
    </row>
    <row r="38" spans="1:6" s="16" customFormat="1" ht="20.100000000000001" customHeight="1">
      <c r="A38" s="171"/>
      <c r="B38" s="143">
        <v>31</v>
      </c>
      <c r="C38" s="133" t="s">
        <v>1600</v>
      </c>
      <c r="D38" s="134" t="s">
        <v>1623</v>
      </c>
      <c r="E38" s="331">
        <v>50158763.630000003</v>
      </c>
      <c r="F38" s="171"/>
    </row>
    <row r="39" spans="1:6" s="16" customFormat="1" ht="20.100000000000001" customHeight="1">
      <c r="A39" s="171"/>
      <c r="B39" s="143">
        <v>32</v>
      </c>
      <c r="C39" s="133" t="s">
        <v>1600</v>
      </c>
      <c r="D39" s="134" t="s">
        <v>871</v>
      </c>
      <c r="E39" s="331">
        <v>588405.5</v>
      </c>
      <c r="F39" s="171"/>
    </row>
    <row r="40" spans="1:6" s="16" customFormat="1" ht="20.100000000000001" customHeight="1">
      <c r="A40" s="171"/>
      <c r="B40" s="143">
        <v>33</v>
      </c>
      <c r="C40" s="133" t="s">
        <v>1600</v>
      </c>
      <c r="D40" s="134" t="s">
        <v>1624</v>
      </c>
      <c r="E40" s="331">
        <v>1375102</v>
      </c>
      <c r="F40" s="171"/>
    </row>
    <row r="41" spans="1:6" s="16" customFormat="1" ht="20.100000000000001" customHeight="1">
      <c r="A41" s="171"/>
      <c r="B41" s="143">
        <v>34</v>
      </c>
      <c r="C41" s="133" t="s">
        <v>1600</v>
      </c>
      <c r="D41" s="134" t="s">
        <v>1625</v>
      </c>
      <c r="E41" s="331">
        <v>21976454</v>
      </c>
      <c r="F41" s="171"/>
    </row>
    <row r="42" spans="1:6" s="16" customFormat="1" ht="20.100000000000001" customHeight="1">
      <c r="A42" s="171"/>
      <c r="B42" s="143">
        <v>35</v>
      </c>
      <c r="C42" s="133" t="s">
        <v>1600</v>
      </c>
      <c r="D42" s="134" t="s">
        <v>1626</v>
      </c>
      <c r="E42" s="331">
        <v>101872119</v>
      </c>
      <c r="F42" s="171"/>
    </row>
    <row r="43" spans="1:6" s="16" customFormat="1" ht="20.100000000000001" customHeight="1">
      <c r="A43" s="171"/>
      <c r="B43" s="143">
        <v>36</v>
      </c>
      <c r="C43" s="133" t="s">
        <v>1600</v>
      </c>
      <c r="D43" s="134" t="s">
        <v>694</v>
      </c>
      <c r="E43" s="331">
        <v>343215.65</v>
      </c>
      <c r="F43" s="171"/>
    </row>
    <row r="44" spans="1:6" s="16" customFormat="1" ht="20.100000000000001" customHeight="1">
      <c r="A44" s="171"/>
      <c r="B44" s="143">
        <v>37</v>
      </c>
      <c r="C44" s="133" t="s">
        <v>1600</v>
      </c>
      <c r="D44" s="134" t="s">
        <v>1627</v>
      </c>
      <c r="E44" s="331">
        <v>240612472.50999999</v>
      </c>
      <c r="F44" s="171"/>
    </row>
    <row r="45" spans="1:6" s="16" customFormat="1" ht="20.100000000000001" customHeight="1">
      <c r="A45" s="171"/>
      <c r="B45" s="143">
        <v>38</v>
      </c>
      <c r="C45" s="133" t="s">
        <v>1600</v>
      </c>
      <c r="D45" s="134" t="s">
        <v>1628</v>
      </c>
      <c r="E45" s="331">
        <v>195909378.81999999</v>
      </c>
      <c r="F45" s="171"/>
    </row>
    <row r="46" spans="1:6" s="16" customFormat="1" ht="20.100000000000001" customHeight="1">
      <c r="A46" s="171"/>
      <c r="B46" s="143">
        <v>39</v>
      </c>
      <c r="C46" s="133" t="s">
        <v>1601</v>
      </c>
      <c r="D46" s="134" t="s">
        <v>1617</v>
      </c>
      <c r="E46" s="331">
        <v>4546944.04</v>
      </c>
      <c r="F46" s="171"/>
    </row>
    <row r="47" spans="1:6" s="16" customFormat="1" ht="20.100000000000001" customHeight="1">
      <c r="A47" s="171"/>
      <c r="B47" s="143">
        <v>40</v>
      </c>
      <c r="C47" s="133" t="s">
        <v>1601</v>
      </c>
      <c r="D47" s="134" t="s">
        <v>870</v>
      </c>
      <c r="E47" s="331">
        <v>424163.92</v>
      </c>
      <c r="F47" s="171"/>
    </row>
    <row r="48" spans="1:6" s="16" customFormat="1" ht="20.100000000000001" customHeight="1">
      <c r="A48" s="171"/>
      <c r="B48" s="143">
        <v>41</v>
      </c>
      <c r="C48" s="133" t="s">
        <v>1601</v>
      </c>
      <c r="D48" s="134" t="s">
        <v>867</v>
      </c>
      <c r="E48" s="331">
        <v>291936.55</v>
      </c>
      <c r="F48" s="171"/>
    </row>
    <row r="49" spans="1:6" s="16" customFormat="1" ht="20.100000000000001" customHeight="1">
      <c r="A49" s="171"/>
      <c r="B49" s="143">
        <v>42</v>
      </c>
      <c r="C49" s="133" t="s">
        <v>1601</v>
      </c>
      <c r="D49" s="134" t="s">
        <v>1629</v>
      </c>
      <c r="E49" s="331">
        <v>1021560.48</v>
      </c>
      <c r="F49" s="171"/>
    </row>
    <row r="50" spans="1:6" s="16" customFormat="1" ht="20.100000000000001" customHeight="1">
      <c r="A50" s="171"/>
      <c r="B50" s="143">
        <v>43</v>
      </c>
      <c r="C50" s="133" t="s">
        <v>1601</v>
      </c>
      <c r="D50" s="134" t="s">
        <v>735</v>
      </c>
      <c r="E50" s="331">
        <v>280756.71000000002</v>
      </c>
      <c r="F50" s="171"/>
    </row>
    <row r="51" spans="1:6" s="16" customFormat="1" ht="20.100000000000001" customHeight="1">
      <c r="A51" s="171"/>
      <c r="B51" s="143">
        <v>44</v>
      </c>
      <c r="C51" s="133" t="s">
        <v>736</v>
      </c>
      <c r="D51" s="134" t="s">
        <v>870</v>
      </c>
      <c r="E51" s="331">
        <v>65301.59</v>
      </c>
      <c r="F51" s="171"/>
    </row>
    <row r="52" spans="1:6" s="16" customFormat="1" ht="20.100000000000001" customHeight="1">
      <c r="A52" s="171"/>
      <c r="B52" s="143">
        <v>45</v>
      </c>
      <c r="C52" s="133" t="s">
        <v>736</v>
      </c>
      <c r="D52" s="134" t="s">
        <v>868</v>
      </c>
      <c r="E52" s="331">
        <v>298164.64</v>
      </c>
      <c r="F52" s="171"/>
    </row>
    <row r="53" spans="1:6" s="16" customFormat="1" ht="20.100000000000001" customHeight="1">
      <c r="A53" s="171"/>
      <c r="B53" s="143">
        <v>46</v>
      </c>
      <c r="C53" s="133" t="s">
        <v>736</v>
      </c>
      <c r="D53" s="134" t="s">
        <v>872</v>
      </c>
      <c r="E53" s="331">
        <v>360301.5</v>
      </c>
      <c r="F53" s="171"/>
    </row>
    <row r="54" spans="1:6" s="16" customFormat="1" ht="20.100000000000001" customHeight="1">
      <c r="A54" s="171"/>
      <c r="B54" s="143">
        <v>47</v>
      </c>
      <c r="C54" s="133" t="s">
        <v>737</v>
      </c>
      <c r="D54" s="134" t="s">
        <v>1630</v>
      </c>
      <c r="E54" s="331">
        <v>1221508.43</v>
      </c>
      <c r="F54" s="171"/>
    </row>
    <row r="55" spans="1:6" s="16" customFormat="1" ht="20.100000000000001" customHeight="1">
      <c r="A55" s="171"/>
      <c r="B55" s="143">
        <v>48</v>
      </c>
      <c r="C55" s="133" t="s">
        <v>737</v>
      </c>
      <c r="D55" s="134" t="s">
        <v>873</v>
      </c>
      <c r="E55" s="331">
        <v>2998989.98</v>
      </c>
      <c r="F55" s="171"/>
    </row>
    <row r="56" spans="1:6" s="16" customFormat="1" ht="20.100000000000001" customHeight="1">
      <c r="A56" s="171"/>
      <c r="B56" s="143">
        <v>49</v>
      </c>
      <c r="C56" s="133" t="s">
        <v>737</v>
      </c>
      <c r="D56" s="134" t="s">
        <v>870</v>
      </c>
      <c r="E56" s="331">
        <v>0</v>
      </c>
      <c r="F56" s="171"/>
    </row>
    <row r="57" spans="1:6" s="16" customFormat="1" ht="20.100000000000001" customHeight="1">
      <c r="A57" s="171"/>
      <c r="B57" s="143">
        <v>50</v>
      </c>
      <c r="C57" s="133" t="s">
        <v>738</v>
      </c>
      <c r="D57" s="134" t="s">
        <v>870</v>
      </c>
      <c r="E57" s="331">
        <v>3463993.66</v>
      </c>
      <c r="F57" s="171"/>
    </row>
    <row r="58" spans="1:6" s="16" customFormat="1" ht="20.100000000000001" customHeight="1">
      <c r="A58" s="171"/>
      <c r="B58" s="143">
        <v>51</v>
      </c>
      <c r="C58" s="133" t="s">
        <v>738</v>
      </c>
      <c r="D58" s="134" t="s">
        <v>876</v>
      </c>
      <c r="E58" s="331">
        <v>3735823.72</v>
      </c>
      <c r="F58" s="171"/>
    </row>
    <row r="59" spans="1:6" s="16" customFormat="1" ht="20.100000000000001" customHeight="1">
      <c r="A59" s="171"/>
      <c r="B59" s="143">
        <v>52</v>
      </c>
      <c r="C59" s="133" t="s">
        <v>738</v>
      </c>
      <c r="D59" s="134" t="s">
        <v>1631</v>
      </c>
      <c r="E59" s="331">
        <v>2715535.88</v>
      </c>
      <c r="F59" s="171"/>
    </row>
    <row r="60" spans="1:6" s="16" customFormat="1" ht="20.100000000000001" customHeight="1">
      <c r="A60" s="171"/>
      <c r="B60" s="143">
        <v>53</v>
      </c>
      <c r="C60" s="133" t="s">
        <v>738</v>
      </c>
      <c r="D60" s="134" t="s">
        <v>874</v>
      </c>
      <c r="E60" s="331">
        <v>50113829.049999997</v>
      </c>
      <c r="F60" s="171"/>
    </row>
    <row r="61" spans="1:6" s="16" customFormat="1" ht="20.100000000000001" customHeight="1">
      <c r="A61" s="171"/>
      <c r="B61" s="143">
        <v>54</v>
      </c>
      <c r="C61" s="133" t="s">
        <v>738</v>
      </c>
      <c r="D61" s="134" t="s">
        <v>875</v>
      </c>
      <c r="E61" s="331">
        <v>403914.86</v>
      </c>
      <c r="F61" s="171"/>
    </row>
    <row r="62" spans="1:6" s="16" customFormat="1" ht="20.100000000000001" customHeight="1">
      <c r="A62" s="171"/>
      <c r="B62" s="143">
        <v>55</v>
      </c>
      <c r="C62" s="133" t="s">
        <v>738</v>
      </c>
      <c r="D62" s="134" t="s">
        <v>1632</v>
      </c>
      <c r="E62" s="331">
        <v>360301.5</v>
      </c>
      <c r="F62" s="171"/>
    </row>
    <row r="63" spans="1:6" s="16" customFormat="1" ht="20.100000000000001" customHeight="1">
      <c r="A63" s="171"/>
      <c r="B63" s="143">
        <v>56</v>
      </c>
      <c r="C63" s="133" t="s">
        <v>738</v>
      </c>
      <c r="D63" s="134" t="s">
        <v>1633</v>
      </c>
      <c r="E63" s="331">
        <v>1463430.58</v>
      </c>
      <c r="F63" s="171"/>
    </row>
    <row r="64" spans="1:6" s="16" customFormat="1" ht="20.100000000000001" customHeight="1">
      <c r="A64" s="171"/>
      <c r="B64" s="143">
        <v>57</v>
      </c>
      <c r="C64" s="133" t="s">
        <v>738</v>
      </c>
      <c r="D64" s="134" t="s">
        <v>1634</v>
      </c>
      <c r="E64" s="331">
        <v>263307.15999999997</v>
      </c>
      <c r="F64" s="171"/>
    </row>
    <row r="65" spans="1:6" s="16" customFormat="1" ht="20.100000000000001" customHeight="1">
      <c r="A65" s="171"/>
      <c r="B65" s="143">
        <v>58</v>
      </c>
      <c r="C65" s="133" t="s">
        <v>738</v>
      </c>
      <c r="D65" s="134" t="s">
        <v>1635</v>
      </c>
      <c r="E65" s="331">
        <v>5002368.26</v>
      </c>
      <c r="F65" s="171"/>
    </row>
    <row r="66" spans="1:6" s="16" customFormat="1" ht="20.100000000000001" customHeight="1">
      <c r="A66" s="171"/>
      <c r="B66" s="143">
        <v>59</v>
      </c>
      <c r="C66" s="133" t="s">
        <v>738</v>
      </c>
      <c r="D66" s="134" t="s">
        <v>694</v>
      </c>
      <c r="E66" s="331">
        <v>102264791.48999999</v>
      </c>
      <c r="F66" s="171"/>
    </row>
    <row r="67" spans="1:6" s="16" customFormat="1" ht="20.100000000000001" customHeight="1">
      <c r="A67" s="171"/>
      <c r="B67" s="143">
        <v>60</v>
      </c>
      <c r="C67" s="133" t="s">
        <v>738</v>
      </c>
      <c r="D67" s="134" t="s">
        <v>1636</v>
      </c>
      <c r="E67" s="331">
        <v>17258130</v>
      </c>
      <c r="F67" s="171"/>
    </row>
    <row r="68" spans="1:6" s="16" customFormat="1" ht="20.100000000000001" customHeight="1">
      <c r="A68" s="171"/>
      <c r="B68" s="143">
        <v>61</v>
      </c>
      <c r="C68" s="133" t="s">
        <v>738</v>
      </c>
      <c r="D68" s="134" t="s">
        <v>877</v>
      </c>
      <c r="E68" s="331">
        <v>38068634.829999998</v>
      </c>
      <c r="F68" s="171"/>
    </row>
    <row r="69" spans="1:6" s="16" customFormat="1" ht="20.100000000000001" customHeight="1">
      <c r="A69" s="171"/>
      <c r="B69" s="143">
        <v>62</v>
      </c>
      <c r="C69" s="133" t="s">
        <v>738</v>
      </c>
      <c r="D69" s="134" t="s">
        <v>1637</v>
      </c>
      <c r="E69" s="331">
        <v>27715129.140000001</v>
      </c>
      <c r="F69" s="171"/>
    </row>
    <row r="70" spans="1:6" s="16" customFormat="1" ht="20.100000000000001" customHeight="1">
      <c r="A70" s="171"/>
      <c r="B70" s="143">
        <v>63</v>
      </c>
      <c r="C70" s="133" t="s">
        <v>738</v>
      </c>
      <c r="D70" s="134" t="s">
        <v>1638</v>
      </c>
      <c r="E70" s="331">
        <v>2330258.81</v>
      </c>
      <c r="F70" s="171"/>
    </row>
    <row r="71" spans="1:6" s="16" customFormat="1" ht="20.100000000000001" customHeight="1">
      <c r="A71" s="171"/>
      <c r="B71" s="143">
        <v>64</v>
      </c>
      <c r="C71" s="134" t="s">
        <v>859</v>
      </c>
      <c r="D71" s="134" t="s">
        <v>1639</v>
      </c>
      <c r="E71" s="331">
        <v>17299602.98</v>
      </c>
      <c r="F71" s="171"/>
    </row>
    <row r="72" spans="1:6" s="16" customFormat="1" ht="20.100000000000001" customHeight="1">
      <c r="A72" s="171"/>
      <c r="B72" s="143">
        <v>65</v>
      </c>
      <c r="C72" s="134" t="s">
        <v>862</v>
      </c>
      <c r="D72" s="134" t="s">
        <v>1639</v>
      </c>
      <c r="E72" s="331">
        <v>2697792.83</v>
      </c>
      <c r="F72" s="171"/>
    </row>
    <row r="73" spans="1:6" s="16" customFormat="1" ht="20.100000000000001" customHeight="1">
      <c r="A73" s="171"/>
      <c r="B73" s="143">
        <v>66</v>
      </c>
      <c r="C73" s="134" t="s">
        <v>733</v>
      </c>
      <c r="D73" s="134" t="s">
        <v>1639</v>
      </c>
      <c r="E73" s="331">
        <v>51020391.130000003</v>
      </c>
      <c r="F73" s="171"/>
    </row>
    <row r="74" spans="1:6" s="16" customFormat="1" ht="20.100000000000001" customHeight="1">
      <c r="A74" s="171"/>
      <c r="B74" s="143">
        <v>67</v>
      </c>
      <c r="C74" s="134" t="s">
        <v>729</v>
      </c>
      <c r="D74" s="134" t="s">
        <v>1639</v>
      </c>
      <c r="E74" s="331">
        <v>407882.74</v>
      </c>
      <c r="F74" s="171"/>
    </row>
    <row r="75" spans="1:6" s="16" customFormat="1" ht="20.100000000000001" customHeight="1">
      <c r="A75" s="171"/>
      <c r="B75" s="143">
        <v>68</v>
      </c>
      <c r="C75" s="134" t="s">
        <v>1602</v>
      </c>
      <c r="D75" s="134" t="s">
        <v>1639</v>
      </c>
      <c r="E75" s="331">
        <v>21515.86</v>
      </c>
      <c r="F75" s="171"/>
    </row>
    <row r="76" spans="1:6" s="16" customFormat="1" ht="20.100000000000001" customHeight="1">
      <c r="A76" s="171"/>
      <c r="B76" s="143">
        <v>69</v>
      </c>
      <c r="C76" s="134" t="s">
        <v>866</v>
      </c>
      <c r="D76" s="134" t="s">
        <v>1639</v>
      </c>
      <c r="E76" s="331">
        <v>12096067.039999999</v>
      </c>
      <c r="F76" s="171"/>
    </row>
    <row r="77" spans="1:6" s="16" customFormat="1" ht="20.100000000000001" customHeight="1">
      <c r="A77" s="171"/>
      <c r="B77" s="143">
        <v>70</v>
      </c>
      <c r="C77" s="134" t="s">
        <v>732</v>
      </c>
      <c r="D77" s="134" t="s">
        <v>1639</v>
      </c>
      <c r="E77" s="331">
        <v>17702.03</v>
      </c>
      <c r="F77" s="171"/>
    </row>
    <row r="78" spans="1:6" s="16" customFormat="1" ht="20.100000000000001" customHeight="1">
      <c r="A78" s="171"/>
      <c r="B78" s="143">
        <v>71</v>
      </c>
      <c r="C78" s="134" t="s">
        <v>1603</v>
      </c>
      <c r="D78" s="134" t="s">
        <v>1639</v>
      </c>
      <c r="E78" s="331">
        <v>223749.16</v>
      </c>
      <c r="F78" s="171"/>
    </row>
    <row r="79" spans="1:6" s="16" customFormat="1" ht="20.100000000000001" customHeight="1">
      <c r="A79" s="171"/>
      <c r="B79" s="143">
        <v>72</v>
      </c>
      <c r="C79" s="134" t="s">
        <v>1604</v>
      </c>
      <c r="D79" s="134" t="s">
        <v>1639</v>
      </c>
      <c r="E79" s="331">
        <v>6305532.6799999997</v>
      </c>
      <c r="F79" s="171"/>
    </row>
    <row r="80" spans="1:6" s="16" customFormat="1" ht="20.100000000000001" customHeight="1">
      <c r="A80" s="171"/>
      <c r="B80" s="143">
        <v>73</v>
      </c>
      <c r="C80" s="134" t="s">
        <v>734</v>
      </c>
      <c r="D80" s="134" t="s">
        <v>1639</v>
      </c>
      <c r="E80" s="331">
        <v>25350.6</v>
      </c>
      <c r="F80" s="171"/>
    </row>
    <row r="81" spans="1:6" s="16" customFormat="1" ht="20.100000000000001" customHeight="1">
      <c r="A81" s="171"/>
      <c r="B81" s="143">
        <v>74</v>
      </c>
      <c r="C81" s="134" t="s">
        <v>1600</v>
      </c>
      <c r="D81" s="134" t="s">
        <v>1639</v>
      </c>
      <c r="E81" s="331">
        <v>307866739.66000003</v>
      </c>
      <c r="F81" s="171"/>
    </row>
    <row r="82" spans="1:6" s="16" customFormat="1" ht="20.100000000000001" customHeight="1">
      <c r="A82" s="171"/>
      <c r="B82" s="143">
        <v>75</v>
      </c>
      <c r="C82" s="134" t="s">
        <v>1601</v>
      </c>
      <c r="D82" s="134" t="s">
        <v>1639</v>
      </c>
      <c r="E82" s="331">
        <v>112327.72</v>
      </c>
      <c r="F82" s="171"/>
    </row>
    <row r="83" spans="1:6" s="16" customFormat="1" ht="20.100000000000001" customHeight="1">
      <c r="A83" s="171"/>
      <c r="B83" s="143">
        <v>76</v>
      </c>
      <c r="C83" s="134" t="s">
        <v>736</v>
      </c>
      <c r="D83" s="134" t="s">
        <v>1639</v>
      </c>
      <c r="E83" s="331">
        <v>110685944.98</v>
      </c>
      <c r="F83" s="171"/>
    </row>
    <row r="84" spans="1:6" s="16" customFormat="1" ht="20.100000000000001" customHeight="1">
      <c r="A84" s="171"/>
      <c r="B84" s="143">
        <v>77</v>
      </c>
      <c r="C84" s="134" t="s">
        <v>1605</v>
      </c>
      <c r="D84" s="134" t="s">
        <v>1639</v>
      </c>
      <c r="E84" s="331">
        <v>98519.43</v>
      </c>
      <c r="F84" s="171"/>
    </row>
    <row r="85" spans="1:6" s="16" customFormat="1" ht="20.100000000000001" customHeight="1">
      <c r="A85" s="171"/>
      <c r="B85" s="143">
        <v>78</v>
      </c>
      <c r="C85" s="134" t="s">
        <v>1606</v>
      </c>
      <c r="D85" s="134" t="s">
        <v>1639</v>
      </c>
      <c r="E85" s="331">
        <v>23998.720000000001</v>
      </c>
      <c r="F85" s="171"/>
    </row>
    <row r="86" spans="1:6" s="6" customFormat="1" ht="25.5" customHeight="1">
      <c r="A86" s="169"/>
      <c r="B86" s="172"/>
      <c r="C86" s="431" t="s">
        <v>1964</v>
      </c>
      <c r="D86" s="431"/>
      <c r="E86" s="436">
        <f>SUM(E8:E85)</f>
        <v>5403430784.6099997</v>
      </c>
      <c r="F86" s="169"/>
    </row>
    <row r="87" spans="1:6" s="169" customFormat="1" ht="20.100000000000001" customHeight="1">
      <c r="B87" s="178"/>
      <c r="C87" s="167"/>
      <c r="D87" s="167"/>
      <c r="E87" s="168"/>
    </row>
    <row r="88" spans="1:6" s="169" customFormat="1" ht="20.100000000000001" customHeight="1">
      <c r="B88" s="616" t="s">
        <v>2012</v>
      </c>
      <c r="C88" s="616"/>
      <c r="D88" s="616"/>
      <c r="E88" s="616"/>
    </row>
    <row r="89" spans="1:6" s="169" customFormat="1" ht="20.100000000000001" customHeight="1">
      <c r="B89" s="172" t="s">
        <v>87</v>
      </c>
      <c r="C89" s="172" t="s">
        <v>728</v>
      </c>
      <c r="D89" s="173" t="s">
        <v>1955</v>
      </c>
      <c r="E89" s="284" t="s">
        <v>1956</v>
      </c>
    </row>
    <row r="90" spans="1:6" s="169" customFormat="1" ht="20.100000000000001" customHeight="1">
      <c r="B90" s="143">
        <v>1</v>
      </c>
      <c r="C90" s="171" t="s">
        <v>866</v>
      </c>
      <c r="D90" s="134" t="s">
        <v>1957</v>
      </c>
      <c r="E90" s="331">
        <v>143125227.83000001</v>
      </c>
    </row>
    <row r="91" spans="1:6" s="169" customFormat="1" ht="20.100000000000001" customHeight="1">
      <c r="B91" s="143">
        <v>2</v>
      </c>
      <c r="C91" s="319" t="s">
        <v>1951</v>
      </c>
      <c r="D91" s="134" t="s">
        <v>1957</v>
      </c>
      <c r="E91" s="331">
        <v>8882205.6799999997</v>
      </c>
    </row>
    <row r="92" spans="1:6" s="169" customFormat="1" ht="20.100000000000001" customHeight="1">
      <c r="B92" s="143">
        <v>3</v>
      </c>
      <c r="C92" s="319" t="s">
        <v>1599</v>
      </c>
      <c r="D92" s="134" t="s">
        <v>1957</v>
      </c>
      <c r="E92" s="331">
        <v>1682886.16</v>
      </c>
    </row>
    <row r="93" spans="1:6" s="169" customFormat="1" ht="20.100000000000001" customHeight="1">
      <c r="B93" s="143">
        <v>4</v>
      </c>
      <c r="C93" s="319" t="s">
        <v>865</v>
      </c>
      <c r="D93" s="134" t="s">
        <v>1957</v>
      </c>
      <c r="E93" s="331">
        <v>3059481.03</v>
      </c>
    </row>
    <row r="94" spans="1:6" s="169" customFormat="1" ht="20.100000000000001" customHeight="1">
      <c r="B94" s="143">
        <v>5</v>
      </c>
      <c r="C94" s="319" t="s">
        <v>736</v>
      </c>
      <c r="D94" s="134" t="s">
        <v>1957</v>
      </c>
      <c r="E94" s="331">
        <v>100</v>
      </c>
    </row>
    <row r="95" spans="1:6" s="169" customFormat="1" ht="20.100000000000001" customHeight="1">
      <c r="B95" s="143">
        <v>6</v>
      </c>
      <c r="C95" s="319" t="s">
        <v>1952</v>
      </c>
      <c r="D95" s="134" t="s">
        <v>1957</v>
      </c>
      <c r="E95" s="331">
        <v>0</v>
      </c>
    </row>
    <row r="96" spans="1:6" s="169" customFormat="1" ht="20.100000000000001" customHeight="1">
      <c r="B96" s="143">
        <v>7</v>
      </c>
      <c r="C96" s="319" t="s">
        <v>1601</v>
      </c>
      <c r="D96" s="134" t="s">
        <v>1957</v>
      </c>
      <c r="E96" s="331">
        <v>640897.24</v>
      </c>
    </row>
    <row r="97" spans="1:6" s="169" customFormat="1" ht="20.100000000000001" customHeight="1">
      <c r="B97" s="143">
        <v>8</v>
      </c>
      <c r="C97" s="319" t="s">
        <v>733</v>
      </c>
      <c r="D97" s="134" t="s">
        <v>1957</v>
      </c>
      <c r="E97" s="331">
        <v>5748374.7800000003</v>
      </c>
    </row>
    <row r="98" spans="1:6" s="169" customFormat="1" ht="20.100000000000001" customHeight="1">
      <c r="B98" s="143">
        <v>9</v>
      </c>
      <c r="C98" s="319" t="s">
        <v>734</v>
      </c>
      <c r="D98" s="134" t="s">
        <v>1957</v>
      </c>
      <c r="E98" s="331">
        <v>3403028.74</v>
      </c>
    </row>
    <row r="99" spans="1:6" s="169" customFormat="1" ht="20.100000000000001" customHeight="1">
      <c r="B99" s="143">
        <v>10</v>
      </c>
      <c r="C99" s="319" t="s">
        <v>1953</v>
      </c>
      <c r="D99" s="134" t="s">
        <v>1957</v>
      </c>
      <c r="E99" s="331">
        <v>8981457.3100000005</v>
      </c>
    </row>
    <row r="100" spans="1:6" s="169" customFormat="1" ht="20.100000000000001" customHeight="1">
      <c r="B100" s="143">
        <v>11</v>
      </c>
      <c r="C100" s="319" t="s">
        <v>1600</v>
      </c>
      <c r="D100" s="134" t="s">
        <v>1957</v>
      </c>
      <c r="E100" s="331">
        <v>1</v>
      </c>
    </row>
    <row r="101" spans="1:6" s="169" customFormat="1" ht="20.100000000000001" customHeight="1">
      <c r="B101" s="143">
        <v>12</v>
      </c>
      <c r="C101" s="319" t="s">
        <v>729</v>
      </c>
      <c r="D101" s="134" t="s">
        <v>1957</v>
      </c>
      <c r="E101" s="331">
        <v>204771359.27000001</v>
      </c>
    </row>
    <row r="102" spans="1:6" s="169" customFormat="1" ht="20.100000000000001" customHeight="1">
      <c r="B102" s="143">
        <v>13</v>
      </c>
      <c r="C102" s="319" t="s">
        <v>862</v>
      </c>
      <c r="D102" s="134" t="s">
        <v>1957</v>
      </c>
      <c r="E102" s="331">
        <v>469425.44</v>
      </c>
    </row>
    <row r="103" spans="1:6" s="169" customFormat="1" ht="20.100000000000001" customHeight="1">
      <c r="B103" s="143">
        <v>14</v>
      </c>
      <c r="C103" s="319" t="s">
        <v>859</v>
      </c>
      <c r="D103" s="134" t="s">
        <v>1957</v>
      </c>
      <c r="E103" s="331">
        <v>11162825.43</v>
      </c>
    </row>
    <row r="104" spans="1:6" s="169" customFormat="1" ht="20.100000000000001" customHeight="1">
      <c r="B104" s="143">
        <v>15</v>
      </c>
      <c r="C104" s="319" t="s">
        <v>738</v>
      </c>
      <c r="D104" s="134" t="s">
        <v>1957</v>
      </c>
      <c r="E104" s="331">
        <v>474087.95</v>
      </c>
    </row>
    <row r="105" spans="1:6" s="169" customFormat="1" ht="20.100000000000001" customHeight="1">
      <c r="B105" s="143">
        <v>16</v>
      </c>
      <c r="C105" s="319" t="s">
        <v>1954</v>
      </c>
      <c r="D105" s="134" t="s">
        <v>1958</v>
      </c>
      <c r="E105" s="331">
        <v>250000.01</v>
      </c>
    </row>
    <row r="106" spans="1:6" s="169" customFormat="1" ht="20.100000000000001" customHeight="1">
      <c r="B106" s="143">
        <v>17</v>
      </c>
      <c r="C106" s="319" t="s">
        <v>1950</v>
      </c>
      <c r="D106" s="134" t="s">
        <v>1959</v>
      </c>
      <c r="E106" s="331">
        <v>33076073.489999998</v>
      </c>
    </row>
    <row r="107" spans="1:6" s="169" customFormat="1" ht="20.100000000000001" customHeight="1">
      <c r="B107" s="143">
        <v>18</v>
      </c>
      <c r="C107" s="319" t="s">
        <v>1599</v>
      </c>
      <c r="D107" s="134" t="s">
        <v>1960</v>
      </c>
      <c r="E107" s="331">
        <v>5636992.4800000004</v>
      </c>
    </row>
    <row r="108" spans="1:6" s="169" customFormat="1" ht="20.100000000000001" customHeight="1">
      <c r="B108" s="143">
        <v>19</v>
      </c>
      <c r="C108" s="319" t="s">
        <v>1950</v>
      </c>
      <c r="D108" s="134" t="s">
        <v>1961</v>
      </c>
      <c r="E108" s="331">
        <v>4375</v>
      </c>
    </row>
    <row r="109" spans="1:6" s="169" customFormat="1" ht="20.100000000000001" customHeight="1">
      <c r="B109" s="143">
        <v>20</v>
      </c>
      <c r="C109" s="319" t="s">
        <v>859</v>
      </c>
      <c r="D109" s="134" t="s">
        <v>1962</v>
      </c>
      <c r="E109" s="331">
        <v>25353540.050000001</v>
      </c>
    </row>
    <row r="110" spans="1:6" s="169" customFormat="1" ht="20.100000000000001" customHeight="1">
      <c r="B110" s="172"/>
      <c r="C110" s="431" t="s">
        <v>817</v>
      </c>
      <c r="D110" s="431"/>
      <c r="E110" s="436">
        <f>SUM(E90:E109)</f>
        <v>456722338.8900001</v>
      </c>
    </row>
    <row r="111" spans="1:6" s="170" customFormat="1" ht="20.100000000000001" customHeight="1">
      <c r="B111" s="615" t="s">
        <v>1930</v>
      </c>
      <c r="C111" s="615"/>
      <c r="D111" s="615"/>
      <c r="E111" s="615"/>
      <c r="F111" s="142"/>
    </row>
    <row r="112" spans="1:6" s="15" customFormat="1" ht="20.100000000000001" customHeight="1">
      <c r="A112" s="170"/>
      <c r="B112" s="179" t="s">
        <v>87</v>
      </c>
      <c r="C112" s="190" t="s">
        <v>728</v>
      </c>
      <c r="D112" s="179" t="s">
        <v>858</v>
      </c>
      <c r="E112" s="179" t="s">
        <v>827</v>
      </c>
      <c r="F112" s="142"/>
    </row>
    <row r="113" spans="1:6" s="15" customFormat="1" ht="20.100000000000001" customHeight="1">
      <c r="A113" s="170"/>
      <c r="B113" s="179"/>
      <c r="C113" s="190"/>
      <c r="D113" s="179"/>
      <c r="E113" s="182" t="s">
        <v>3</v>
      </c>
      <c r="F113" s="142"/>
    </row>
    <row r="114" spans="1:6" s="15" customFormat="1" ht="20.100000000000001" customHeight="1">
      <c r="A114" s="170"/>
      <c r="B114" s="143">
        <v>1</v>
      </c>
      <c r="C114" s="349" t="s">
        <v>1359</v>
      </c>
      <c r="D114" s="264"/>
      <c r="E114" s="331">
        <v>67619368.879999995</v>
      </c>
      <c r="F114" s="142"/>
    </row>
    <row r="115" spans="1:6" s="15" customFormat="1" ht="20.100000000000001" customHeight="1">
      <c r="A115" s="170"/>
      <c r="B115" s="143">
        <v>2</v>
      </c>
      <c r="C115" s="349" t="s">
        <v>1647</v>
      </c>
      <c r="D115" s="264"/>
      <c r="E115" s="331">
        <v>6023465469.5299997</v>
      </c>
      <c r="F115" s="142"/>
    </row>
    <row r="116" spans="1:6" s="15" customFormat="1" ht="20.100000000000001" customHeight="1">
      <c r="A116" s="170"/>
      <c r="B116" s="154"/>
      <c r="C116" s="437" t="s">
        <v>1965</v>
      </c>
      <c r="D116" s="155"/>
      <c r="E116" s="156">
        <f>E114+E115</f>
        <v>6091084838.4099998</v>
      </c>
      <c r="F116" s="142"/>
    </row>
    <row r="117" spans="1:6" s="15" customFormat="1" ht="20.100000000000001" customHeight="1">
      <c r="A117" s="170"/>
      <c r="B117" s="154"/>
      <c r="C117" s="190"/>
      <c r="D117" s="155"/>
      <c r="E117" s="156"/>
      <c r="F117" s="142"/>
    </row>
    <row r="118" spans="1:6" s="15" customFormat="1" ht="20.100000000000001" customHeight="1">
      <c r="A118" s="170"/>
      <c r="B118" s="143"/>
      <c r="C118" s="271" t="s">
        <v>1963</v>
      </c>
      <c r="D118" s="438"/>
      <c r="E118" s="436">
        <f>E116+E110+E86</f>
        <v>11951237961.91</v>
      </c>
      <c r="F118" s="142"/>
    </row>
    <row r="119" spans="1:6" s="15" customFormat="1" ht="24.95" customHeight="1">
      <c r="A119" s="170"/>
      <c r="B119" s="252"/>
      <c r="C119" s="439"/>
      <c r="D119" s="440"/>
      <c r="E119" s="251"/>
      <c r="F119" s="142"/>
    </row>
    <row r="120" spans="1:6" s="15" customFormat="1" ht="24.95" hidden="1" customHeight="1">
      <c r="A120" s="170"/>
      <c r="B120" s="252"/>
      <c r="C120" s="439"/>
      <c r="D120" s="440">
        <f>E110+E86</f>
        <v>5860153123.5</v>
      </c>
      <c r="E120" s="251"/>
      <c r="F120" s="142"/>
    </row>
    <row r="121" spans="1:6" s="15" customFormat="1" ht="24.95" customHeight="1">
      <c r="A121" s="170"/>
      <c r="B121" s="252"/>
      <c r="C121" s="439"/>
      <c r="D121" s="440"/>
      <c r="E121" s="251"/>
      <c r="F121" s="142"/>
    </row>
    <row r="122" spans="1:6" s="15" customFormat="1" ht="24.95" customHeight="1">
      <c r="A122" s="170"/>
      <c r="B122" s="252"/>
      <c r="C122" s="439"/>
      <c r="D122" s="440"/>
      <c r="E122" s="251"/>
      <c r="F122" s="142"/>
    </row>
    <row r="123" spans="1:6" s="15" customFormat="1" ht="24.95" customHeight="1">
      <c r="A123" s="170"/>
      <c r="B123" s="252"/>
      <c r="C123" s="439"/>
      <c r="D123" s="440"/>
      <c r="E123" s="251"/>
      <c r="F123" s="142"/>
    </row>
    <row r="124" spans="1:6" s="15" customFormat="1" ht="24.95" customHeight="1">
      <c r="A124" s="170"/>
      <c r="B124" s="252"/>
      <c r="C124" s="439"/>
      <c r="D124" s="440"/>
      <c r="E124" s="251"/>
      <c r="F124" s="142"/>
    </row>
    <row r="125" spans="1:6" s="15" customFormat="1" ht="24.95" customHeight="1">
      <c r="A125" s="170"/>
      <c r="B125" s="252"/>
      <c r="C125" s="439"/>
      <c r="D125" s="440"/>
      <c r="E125" s="251"/>
      <c r="F125" s="142"/>
    </row>
    <row r="126" spans="1:6" s="15" customFormat="1" ht="24.95" customHeight="1">
      <c r="A126" s="170"/>
      <c r="B126" s="252"/>
      <c r="C126" s="439"/>
      <c r="D126" s="440"/>
      <c r="E126" s="251"/>
      <c r="F126" s="142"/>
    </row>
    <row r="127" spans="1:6" s="15" customFormat="1" ht="24.95" customHeight="1">
      <c r="A127" s="170"/>
      <c r="B127" s="252"/>
      <c r="C127" s="439"/>
      <c r="D127" s="440"/>
      <c r="E127" s="251"/>
      <c r="F127" s="142"/>
    </row>
    <row r="128" spans="1:6" s="15" customFormat="1" ht="24.95" customHeight="1">
      <c r="A128" s="170"/>
      <c r="B128" s="252"/>
      <c r="C128" s="439"/>
      <c r="D128" s="440"/>
      <c r="E128" s="251"/>
      <c r="F128" s="142"/>
    </row>
    <row r="129" spans="1:6" s="15" customFormat="1" ht="24.95" customHeight="1">
      <c r="A129" s="170"/>
      <c r="B129" s="252"/>
      <c r="C129" s="439"/>
      <c r="D129" s="440"/>
      <c r="E129" s="251"/>
      <c r="F129" s="142"/>
    </row>
    <row r="130" spans="1:6" s="15" customFormat="1" ht="24.95" customHeight="1">
      <c r="A130" s="170"/>
      <c r="B130" s="252"/>
      <c r="C130" s="439"/>
      <c r="D130" s="440"/>
      <c r="E130" s="251"/>
      <c r="F130" s="142"/>
    </row>
    <row r="131" spans="1:6" s="15" customFormat="1" ht="24.95" customHeight="1">
      <c r="A131" s="170"/>
      <c r="B131" s="252"/>
      <c r="C131" s="439"/>
      <c r="D131" s="440"/>
      <c r="E131" s="251"/>
      <c r="F131" s="142"/>
    </row>
    <row r="132" spans="1:6" s="15" customFormat="1" ht="24.95" customHeight="1">
      <c r="A132" s="170"/>
      <c r="B132" s="252"/>
      <c r="C132" s="439"/>
      <c r="D132" s="440"/>
      <c r="E132" s="251"/>
      <c r="F132" s="142"/>
    </row>
    <row r="133" spans="1:6" s="15" customFormat="1" ht="24.95" customHeight="1">
      <c r="A133" s="170"/>
      <c r="B133" s="252"/>
      <c r="C133" s="439"/>
      <c r="D133" s="440"/>
      <c r="E133" s="251"/>
      <c r="F133" s="142"/>
    </row>
    <row r="134" spans="1:6" s="15" customFormat="1" ht="24.95" customHeight="1">
      <c r="A134" s="170"/>
      <c r="B134" s="252"/>
      <c r="C134" s="439"/>
      <c r="D134" s="440"/>
      <c r="E134" s="251"/>
      <c r="F134" s="142"/>
    </row>
    <row r="135" spans="1:6" s="15" customFormat="1" ht="24.95" customHeight="1">
      <c r="A135" s="170"/>
      <c r="B135" s="252"/>
      <c r="C135" s="439"/>
      <c r="D135" s="440"/>
      <c r="E135" s="251"/>
      <c r="F135" s="142"/>
    </row>
    <row r="136" spans="1:6" s="15" customFormat="1" ht="24.95" customHeight="1">
      <c r="A136" s="170"/>
      <c r="B136" s="252"/>
      <c r="C136" s="439"/>
      <c r="D136" s="440"/>
      <c r="E136" s="251"/>
      <c r="F136" s="142"/>
    </row>
    <row r="137" spans="1:6" s="15" customFormat="1" ht="24.95" customHeight="1">
      <c r="A137" s="170"/>
      <c r="B137" s="252"/>
      <c r="C137" s="439"/>
      <c r="D137" s="440"/>
      <c r="E137" s="251"/>
      <c r="F137" s="142"/>
    </row>
    <row r="138" spans="1:6" s="15" customFormat="1" ht="24.95" customHeight="1">
      <c r="A138" s="170"/>
      <c r="B138" s="170"/>
      <c r="C138" s="360"/>
      <c r="D138" s="151"/>
      <c r="E138" s="171"/>
      <c r="F138" s="142"/>
    </row>
    <row r="139" spans="1:6" s="15" customFormat="1" ht="24.95" customHeight="1">
      <c r="A139" s="170"/>
      <c r="B139" s="170"/>
      <c r="C139" s="360"/>
      <c r="D139" s="151"/>
      <c r="E139" s="171"/>
      <c r="F139" s="142"/>
    </row>
    <row r="140" spans="1:6" s="15" customFormat="1" ht="24.95" customHeight="1">
      <c r="A140" s="170"/>
      <c r="B140" s="170"/>
      <c r="C140" s="360"/>
      <c r="D140" s="151"/>
      <c r="E140" s="171"/>
      <c r="F140" s="142"/>
    </row>
    <row r="141" spans="1:6" s="15" customFormat="1" ht="24.95" customHeight="1">
      <c r="A141" s="170"/>
      <c r="B141" s="170"/>
      <c r="C141" s="360"/>
      <c r="D141" s="151"/>
      <c r="E141" s="171"/>
      <c r="F141" s="142"/>
    </row>
    <row r="142" spans="1:6" s="15" customFormat="1" ht="24.95" customHeight="1">
      <c r="A142" s="170"/>
      <c r="B142" s="170"/>
      <c r="C142" s="360"/>
      <c r="D142" s="151"/>
      <c r="E142" s="171"/>
      <c r="F142" s="142"/>
    </row>
    <row r="143" spans="1:6" s="15" customFormat="1" ht="24.95" customHeight="1">
      <c r="A143" s="170"/>
      <c r="B143" s="170"/>
      <c r="C143" s="360"/>
      <c r="D143" s="151"/>
      <c r="E143" s="171"/>
      <c r="F143" s="142"/>
    </row>
  </sheetData>
  <mergeCells count="6">
    <mergeCell ref="B1:E1"/>
    <mergeCell ref="B2:E2"/>
    <mergeCell ref="B3:E3"/>
    <mergeCell ref="B4:E4"/>
    <mergeCell ref="B111:E111"/>
    <mergeCell ref="B88:E88"/>
  </mergeCells>
  <pageMargins left="0.5" right="0.5" top="0.75" bottom="0.5" header="0.3" footer="0.5"/>
  <pageSetup paperSize="9" firstPageNumber="119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opLeftCell="A13" zoomScale="106" zoomScaleNormal="106" workbookViewId="0">
      <selection activeCell="C26" sqref="C26"/>
    </sheetView>
  </sheetViews>
  <sheetFormatPr defaultRowHeight="15"/>
  <cols>
    <col min="1" max="1" width="2.85546875" style="142" customWidth="1"/>
    <col min="2" max="2" width="9.42578125" style="170" customWidth="1"/>
    <col min="3" max="3" width="54" style="360" customWidth="1"/>
    <col min="4" max="4" width="22.5703125" style="151" customWidth="1"/>
    <col min="5" max="5" width="22.85546875" style="171" customWidth="1"/>
    <col min="6" max="6" width="9.140625" style="142"/>
    <col min="7" max="7" width="13.42578125" bestFit="1" customWidth="1"/>
  </cols>
  <sheetData>
    <row r="1" spans="1:11" s="108" customFormat="1" ht="21.95" hidden="1" customHeight="1">
      <c r="A1" s="142"/>
      <c r="B1" s="599" t="s">
        <v>0</v>
      </c>
      <c r="C1" s="599"/>
      <c r="D1" s="599"/>
      <c r="E1" s="599"/>
      <c r="F1" s="269"/>
      <c r="G1" s="106"/>
      <c r="H1" s="106"/>
      <c r="I1" s="16"/>
      <c r="J1" s="16"/>
    </row>
    <row r="2" spans="1:11" s="108" customFormat="1" ht="21.95" hidden="1" customHeight="1">
      <c r="A2" s="142"/>
      <c r="B2" s="600" t="s">
        <v>1571</v>
      </c>
      <c r="C2" s="600"/>
      <c r="D2" s="600"/>
      <c r="E2" s="600"/>
      <c r="F2" s="270"/>
      <c r="G2" s="107"/>
      <c r="H2" s="107"/>
      <c r="I2" s="16"/>
      <c r="J2" s="16"/>
    </row>
    <row r="3" spans="1:11" s="108" customFormat="1" ht="21.95" hidden="1" customHeight="1">
      <c r="A3" s="142"/>
      <c r="B3" s="600" t="s">
        <v>336</v>
      </c>
      <c r="C3" s="600"/>
      <c r="D3" s="600"/>
      <c r="E3" s="600"/>
      <c r="F3" s="270"/>
      <c r="G3" s="107"/>
      <c r="H3" s="107"/>
      <c r="I3" s="109"/>
      <c r="J3" s="109"/>
      <c r="K3" s="109"/>
    </row>
    <row r="4" spans="1:11" s="108" customFormat="1" ht="21.95" customHeight="1">
      <c r="A4" s="142"/>
      <c r="B4" s="599" t="s">
        <v>2033</v>
      </c>
      <c r="C4" s="599"/>
      <c r="D4" s="599"/>
      <c r="E4" s="599"/>
      <c r="F4" s="269"/>
      <c r="G4" s="106"/>
      <c r="H4" s="106"/>
      <c r="I4" s="110"/>
      <c r="J4" s="110"/>
      <c r="K4" s="110"/>
    </row>
    <row r="5" spans="1:11" ht="18" customHeight="1">
      <c r="B5" s="179" t="s">
        <v>87</v>
      </c>
      <c r="C5" s="190" t="s">
        <v>728</v>
      </c>
      <c r="D5" s="179">
        <v>2018</v>
      </c>
      <c r="E5" s="179">
        <v>2017</v>
      </c>
    </row>
    <row r="6" spans="1:11" ht="18" customHeight="1">
      <c r="B6" s="179"/>
      <c r="C6" s="190"/>
      <c r="D6" s="182" t="s">
        <v>1458</v>
      </c>
      <c r="E6" s="182" t="s">
        <v>1458</v>
      </c>
    </row>
    <row r="7" spans="1:11" s="16" customFormat="1" ht="18" customHeight="1">
      <c r="A7" s="171"/>
      <c r="B7" s="143">
        <v>1</v>
      </c>
      <c r="C7" s="349" t="s">
        <v>911</v>
      </c>
      <c r="D7" s="278">
        <v>0</v>
      </c>
      <c r="E7" s="264">
        <v>0</v>
      </c>
      <c r="F7" s="171"/>
    </row>
    <row r="8" spans="1:11" s="16" customFormat="1" ht="18" customHeight="1">
      <c r="A8" s="171"/>
      <c r="B8" s="143">
        <v>2</v>
      </c>
      <c r="C8" s="57" t="s">
        <v>912</v>
      </c>
      <c r="D8" s="384">
        <v>0</v>
      </c>
      <c r="E8" s="264">
        <v>0</v>
      </c>
      <c r="F8" s="171"/>
    </row>
    <row r="9" spans="1:11" s="16" customFormat="1" ht="18" customHeight="1">
      <c r="A9" s="171"/>
      <c r="B9" s="143">
        <v>3</v>
      </c>
      <c r="C9" s="57" t="s">
        <v>913</v>
      </c>
      <c r="D9" s="384">
        <v>0</v>
      </c>
      <c r="E9" s="264">
        <v>0</v>
      </c>
      <c r="F9" s="171"/>
    </row>
    <row r="10" spans="1:11" s="16" customFormat="1" ht="18" customHeight="1">
      <c r="A10" s="171"/>
      <c r="B10" s="143">
        <v>4</v>
      </c>
      <c r="C10" s="57" t="s">
        <v>914</v>
      </c>
      <c r="D10" s="384">
        <v>0</v>
      </c>
      <c r="E10" s="264">
        <v>0</v>
      </c>
      <c r="F10" s="171"/>
    </row>
    <row r="11" spans="1:11" s="16" customFormat="1" ht="18" customHeight="1">
      <c r="A11" s="171"/>
      <c r="B11" s="143">
        <v>5</v>
      </c>
      <c r="C11" s="57" t="s">
        <v>915</v>
      </c>
      <c r="D11" s="384">
        <v>0</v>
      </c>
      <c r="E11" s="264">
        <v>0</v>
      </c>
      <c r="F11" s="171"/>
    </row>
    <row r="12" spans="1:11" s="16" customFormat="1" ht="18" customHeight="1">
      <c r="A12" s="171"/>
      <c r="B12" s="143">
        <v>6</v>
      </c>
      <c r="C12" s="57" t="s">
        <v>916</v>
      </c>
      <c r="D12" s="384">
        <v>0</v>
      </c>
      <c r="E12" s="264">
        <v>0</v>
      </c>
      <c r="F12" s="171"/>
    </row>
    <row r="13" spans="1:11" s="16" customFormat="1" ht="18" customHeight="1">
      <c r="A13" s="171"/>
      <c r="B13" s="143">
        <v>7</v>
      </c>
      <c r="C13" s="57" t="s">
        <v>917</v>
      </c>
      <c r="D13" s="384">
        <v>0</v>
      </c>
      <c r="E13" s="264">
        <v>0</v>
      </c>
      <c r="F13" s="171"/>
    </row>
    <row r="14" spans="1:11" s="16" customFormat="1" ht="18" customHeight="1">
      <c r="A14" s="171"/>
      <c r="B14" s="143">
        <v>8</v>
      </c>
      <c r="C14" s="350" t="s">
        <v>918</v>
      </c>
      <c r="D14" s="384">
        <v>0</v>
      </c>
      <c r="E14" s="264">
        <v>0</v>
      </c>
      <c r="F14" s="171"/>
    </row>
    <row r="15" spans="1:11" s="20" customFormat="1" ht="18" customHeight="1">
      <c r="A15" s="149"/>
      <c r="B15" s="141"/>
      <c r="C15" s="354" t="s">
        <v>65</v>
      </c>
      <c r="D15" s="385">
        <f>SUM(D7:D14)</f>
        <v>0</v>
      </c>
      <c r="E15" s="385">
        <f>SUM(E7:E14)</f>
        <v>0</v>
      </c>
      <c r="F15" s="149"/>
    </row>
    <row r="16" spans="1:11" s="17" customFormat="1" ht="23.25" customHeight="1">
      <c r="A16" s="251"/>
      <c r="B16" s="617" t="s">
        <v>2034</v>
      </c>
      <c r="C16" s="617"/>
      <c r="D16" s="617"/>
      <c r="E16" s="617"/>
      <c r="F16" s="251"/>
    </row>
    <row r="17" spans="1:7" s="17" customFormat="1" ht="16.5" customHeight="1">
      <c r="A17" s="251"/>
      <c r="B17" s="179" t="s">
        <v>87</v>
      </c>
      <c r="C17" s="190" t="s">
        <v>728</v>
      </c>
      <c r="D17" s="179">
        <v>2018</v>
      </c>
      <c r="E17" s="179">
        <v>2017</v>
      </c>
      <c r="F17" s="251"/>
    </row>
    <row r="18" spans="1:7" s="17" customFormat="1" ht="16.5" customHeight="1">
      <c r="A18" s="251"/>
      <c r="B18" s="179"/>
      <c r="C18" s="190"/>
      <c r="D18" s="182" t="s">
        <v>1458</v>
      </c>
      <c r="E18" s="182" t="s">
        <v>1458</v>
      </c>
      <c r="F18" s="251"/>
    </row>
    <row r="19" spans="1:7" s="17" customFormat="1" ht="16.5" customHeight="1">
      <c r="A19" s="251"/>
      <c r="B19" s="143">
        <v>1</v>
      </c>
      <c r="C19" s="349" t="s">
        <v>1409</v>
      </c>
      <c r="D19" s="278">
        <f>'REVOLVING LOAN '!E25</f>
        <v>48386883.920000017</v>
      </c>
      <c r="E19" s="331">
        <v>48825053.490000002</v>
      </c>
      <c r="F19" s="251"/>
    </row>
    <row r="20" spans="1:7" s="17" customFormat="1" ht="16.5" customHeight="1">
      <c r="A20" s="251"/>
      <c r="B20" s="143">
        <v>2</v>
      </c>
      <c r="C20" s="350" t="s">
        <v>919</v>
      </c>
      <c r="D20" s="384">
        <f>'REVOLVING LOAN '!E17</f>
        <v>3990816911.5599999</v>
      </c>
      <c r="E20" s="331">
        <v>3978586323.98</v>
      </c>
      <c r="F20" s="251"/>
    </row>
    <row r="21" spans="1:7" s="14" customFormat="1" ht="16.5" customHeight="1">
      <c r="A21" s="301"/>
      <c r="B21" s="141"/>
      <c r="C21" s="354" t="s">
        <v>65</v>
      </c>
      <c r="D21" s="385">
        <f>SUM(D19:D20)</f>
        <v>4039203795.48</v>
      </c>
      <c r="E21" s="385">
        <f>SUM(E19:E20)</f>
        <v>4027411377.4699998</v>
      </c>
      <c r="F21" s="301"/>
    </row>
    <row r="22" spans="1:7" s="16" customFormat="1" ht="21" customHeight="1">
      <c r="A22" s="171"/>
      <c r="B22" s="617" t="s">
        <v>2035</v>
      </c>
      <c r="C22" s="617"/>
      <c r="D22" s="617"/>
      <c r="E22" s="617"/>
      <c r="F22" s="171"/>
      <c r="G22" s="119"/>
    </row>
    <row r="23" spans="1:7" s="16" customFormat="1" ht="16.5" customHeight="1">
      <c r="A23" s="171"/>
      <c r="B23" s="179" t="s">
        <v>87</v>
      </c>
      <c r="C23" s="190" t="s">
        <v>728</v>
      </c>
      <c r="D23" s="179">
        <v>2018</v>
      </c>
      <c r="E23" s="179">
        <v>2017</v>
      </c>
      <c r="F23" s="171"/>
    </row>
    <row r="24" spans="1:7" s="16" customFormat="1" ht="16.5" customHeight="1">
      <c r="A24" s="171"/>
      <c r="B24" s="179"/>
      <c r="C24" s="190"/>
      <c r="D24" s="182" t="s">
        <v>1458</v>
      </c>
      <c r="E24" s="182" t="s">
        <v>1458</v>
      </c>
      <c r="F24" s="171"/>
    </row>
    <row r="25" spans="1:7" s="16" customFormat="1" ht="16.5" customHeight="1">
      <c r="A25" s="171"/>
      <c r="B25" s="143">
        <v>1</v>
      </c>
      <c r="C25" s="349" t="s">
        <v>920</v>
      </c>
      <c r="D25" s="278">
        <v>0</v>
      </c>
      <c r="E25" s="331">
        <v>0</v>
      </c>
      <c r="F25" s="171"/>
    </row>
    <row r="26" spans="1:7" s="16" customFormat="1" ht="16.5" customHeight="1">
      <c r="A26" s="171"/>
      <c r="B26" s="143">
        <v>2</v>
      </c>
      <c r="C26" s="441" t="s">
        <v>921</v>
      </c>
      <c r="D26" s="278">
        <v>0</v>
      </c>
      <c r="E26" s="331">
        <v>0</v>
      </c>
      <c r="F26" s="171"/>
    </row>
    <row r="27" spans="1:7" s="14" customFormat="1" ht="16.5" customHeight="1">
      <c r="A27" s="301"/>
      <c r="B27" s="141"/>
      <c r="C27" s="442" t="s">
        <v>65</v>
      </c>
      <c r="D27" s="385">
        <f>SUM(D25:D26)</f>
        <v>0</v>
      </c>
      <c r="E27" s="385">
        <f>SUM(E25:E26)</f>
        <v>0</v>
      </c>
      <c r="F27" s="301"/>
    </row>
    <row r="28" spans="1:7" s="15" customFormat="1" ht="24.95" customHeight="1">
      <c r="A28" s="170"/>
      <c r="B28" s="252"/>
      <c r="C28" s="439"/>
      <c r="D28" s="440"/>
      <c r="E28" s="251"/>
      <c r="F28" s="142"/>
    </row>
    <row r="29" spans="1:7" s="15" customFormat="1" ht="24.95" customHeight="1">
      <c r="A29" s="170"/>
      <c r="B29" s="252"/>
      <c r="C29" s="439"/>
      <c r="D29" s="440"/>
      <c r="E29" s="251"/>
      <c r="F29" s="142"/>
    </row>
    <row r="30" spans="1:7" s="15" customFormat="1" ht="24.95" customHeight="1">
      <c r="A30" s="170"/>
      <c r="B30" s="252"/>
      <c r="C30" s="439"/>
      <c r="D30" s="440"/>
      <c r="E30" s="251"/>
      <c r="F30" s="142"/>
    </row>
    <row r="31" spans="1:7" s="15" customFormat="1" ht="24.95" customHeight="1">
      <c r="A31" s="170"/>
      <c r="B31" s="252"/>
      <c r="C31" s="439"/>
      <c r="D31" s="440"/>
      <c r="E31" s="251"/>
      <c r="F31" s="142"/>
    </row>
    <row r="32" spans="1:7" s="15" customFormat="1" ht="24.95" customHeight="1">
      <c r="A32" s="170"/>
      <c r="B32" s="252"/>
      <c r="C32" s="439"/>
      <c r="D32" s="440"/>
      <c r="E32" s="251"/>
      <c r="F32" s="142"/>
    </row>
    <row r="33" spans="1:6" s="15" customFormat="1" ht="24.95" customHeight="1">
      <c r="A33" s="170"/>
      <c r="B33" s="252"/>
      <c r="C33" s="439"/>
      <c r="D33" s="440"/>
      <c r="E33" s="251"/>
      <c r="F33" s="142"/>
    </row>
    <row r="34" spans="1:6" s="15" customFormat="1" ht="24.95" customHeight="1">
      <c r="A34" s="170"/>
      <c r="B34" s="252"/>
      <c r="C34" s="439"/>
      <c r="D34" s="440"/>
      <c r="E34" s="251"/>
      <c r="F34" s="142"/>
    </row>
    <row r="35" spans="1:6" s="15" customFormat="1" ht="24.95" customHeight="1">
      <c r="A35" s="170"/>
      <c r="B35" s="252"/>
      <c r="C35" s="439"/>
      <c r="D35" s="440"/>
      <c r="E35" s="251"/>
      <c r="F35" s="142"/>
    </row>
    <row r="36" spans="1:6" s="15" customFormat="1" ht="24.95" customHeight="1">
      <c r="A36" s="170"/>
      <c r="B36" s="252"/>
      <c r="C36" s="439"/>
      <c r="D36" s="440"/>
      <c r="E36" s="251"/>
      <c r="F36" s="142"/>
    </row>
    <row r="37" spans="1:6" s="15" customFormat="1" ht="24.95" customHeight="1">
      <c r="A37" s="170"/>
      <c r="B37" s="252"/>
      <c r="C37" s="439"/>
      <c r="D37" s="440"/>
      <c r="E37" s="251"/>
      <c r="F37" s="142"/>
    </row>
    <row r="38" spans="1:6" s="15" customFormat="1" ht="24.95" customHeight="1">
      <c r="A38" s="170"/>
      <c r="B38" s="252"/>
      <c r="C38" s="439"/>
      <c r="D38" s="440"/>
      <c r="E38" s="251"/>
      <c r="F38" s="142"/>
    </row>
    <row r="39" spans="1:6" s="15" customFormat="1" ht="24.95" customHeight="1">
      <c r="A39" s="170"/>
      <c r="B39" s="252"/>
      <c r="C39" s="439"/>
      <c r="D39" s="440"/>
      <c r="E39" s="251"/>
      <c r="F39" s="142"/>
    </row>
    <row r="40" spans="1:6" s="15" customFormat="1" ht="24.95" customHeight="1">
      <c r="A40" s="170"/>
      <c r="B40" s="252"/>
      <c r="C40" s="439"/>
      <c r="D40" s="440"/>
      <c r="E40" s="251"/>
      <c r="F40" s="142"/>
    </row>
    <row r="41" spans="1:6" s="15" customFormat="1" ht="24.95" customHeight="1">
      <c r="A41" s="170"/>
      <c r="B41" s="252"/>
      <c r="C41" s="439"/>
      <c r="D41" s="440"/>
      <c r="E41" s="251"/>
      <c r="F41" s="142"/>
    </row>
    <row r="42" spans="1:6" s="15" customFormat="1" ht="24.95" customHeight="1">
      <c r="A42" s="170"/>
      <c r="B42" s="252"/>
      <c r="C42" s="439"/>
      <c r="D42" s="440"/>
      <c r="E42" s="251"/>
      <c r="F42" s="142"/>
    </row>
    <row r="43" spans="1:6" s="15" customFormat="1" ht="24.95" customHeight="1">
      <c r="A43" s="170"/>
      <c r="B43" s="252"/>
      <c r="C43" s="439"/>
      <c r="D43" s="440"/>
      <c r="E43" s="251"/>
      <c r="F43" s="142"/>
    </row>
    <row r="44" spans="1:6" s="15" customFormat="1" ht="24.95" customHeight="1">
      <c r="A44" s="170"/>
      <c r="B44" s="252"/>
      <c r="C44" s="439"/>
      <c r="D44" s="440"/>
      <c r="E44" s="251"/>
      <c r="F44" s="142"/>
    </row>
    <row r="45" spans="1:6" s="15" customFormat="1" ht="24.95" customHeight="1">
      <c r="A45" s="170"/>
      <c r="B45" s="252"/>
      <c r="C45" s="439"/>
      <c r="D45" s="440"/>
      <c r="E45" s="251"/>
      <c r="F45" s="142"/>
    </row>
    <row r="46" spans="1:6" s="15" customFormat="1" ht="24.95" customHeight="1">
      <c r="A46" s="170"/>
      <c r="B46" s="252"/>
      <c r="C46" s="439"/>
      <c r="D46" s="440"/>
      <c r="E46" s="251"/>
      <c r="F46" s="142"/>
    </row>
    <row r="47" spans="1:6" s="15" customFormat="1" ht="24.95" customHeight="1">
      <c r="A47" s="170"/>
      <c r="B47" s="252"/>
      <c r="C47" s="439"/>
      <c r="D47" s="440"/>
      <c r="E47" s="251"/>
      <c r="F47" s="142"/>
    </row>
    <row r="48" spans="1:6" s="15" customFormat="1" ht="24.95" customHeight="1">
      <c r="A48" s="170"/>
      <c r="B48" s="252"/>
      <c r="C48" s="439"/>
      <c r="D48" s="440"/>
      <c r="E48" s="251"/>
      <c r="F48" s="142"/>
    </row>
    <row r="49" spans="1:6" s="15" customFormat="1" ht="24.95" customHeight="1">
      <c r="A49" s="170"/>
      <c r="B49" s="252"/>
      <c r="C49" s="439"/>
      <c r="D49" s="440"/>
      <c r="E49" s="251"/>
      <c r="F49" s="142"/>
    </row>
    <row r="50" spans="1:6" s="15" customFormat="1" ht="24.95" customHeight="1">
      <c r="A50" s="170"/>
      <c r="B50" s="252"/>
      <c r="C50" s="439"/>
      <c r="D50" s="440"/>
      <c r="E50" s="251"/>
      <c r="F50" s="142"/>
    </row>
    <row r="51" spans="1:6" s="15" customFormat="1" ht="24.95" customHeight="1">
      <c r="A51" s="170"/>
      <c r="B51" s="170"/>
      <c r="C51" s="360"/>
      <c r="D51" s="151"/>
      <c r="E51" s="171"/>
      <c r="F51" s="142"/>
    </row>
    <row r="52" spans="1:6" s="15" customFormat="1" ht="24.95" customHeight="1">
      <c r="A52" s="170"/>
      <c r="B52" s="170"/>
      <c r="C52" s="360"/>
      <c r="D52" s="151"/>
      <c r="E52" s="171"/>
      <c r="F52" s="142"/>
    </row>
    <row r="53" spans="1:6" s="15" customFormat="1" ht="24.95" customHeight="1">
      <c r="A53" s="170"/>
      <c r="B53" s="170"/>
      <c r="C53" s="360"/>
      <c r="D53" s="151"/>
      <c r="E53" s="171"/>
      <c r="F53" s="142"/>
    </row>
    <row r="54" spans="1:6" s="15" customFormat="1" ht="24.95" customHeight="1">
      <c r="A54" s="170"/>
      <c r="B54" s="170"/>
      <c r="C54" s="360"/>
      <c r="D54" s="151"/>
      <c r="E54" s="171"/>
      <c r="F54" s="142"/>
    </row>
    <row r="55" spans="1:6" s="15" customFormat="1" ht="24.95" customHeight="1">
      <c r="A55" s="170"/>
      <c r="B55" s="170"/>
      <c r="C55" s="360"/>
      <c r="D55" s="151"/>
      <c r="E55" s="171"/>
      <c r="F55" s="142"/>
    </row>
    <row r="56" spans="1:6" s="15" customFormat="1" ht="24.95" customHeight="1">
      <c r="A56" s="170"/>
      <c r="B56" s="170"/>
      <c r="C56" s="360"/>
      <c r="D56" s="151"/>
      <c r="E56" s="171"/>
      <c r="F56" s="142"/>
    </row>
  </sheetData>
  <mergeCells count="6">
    <mergeCell ref="B1:E1"/>
    <mergeCell ref="B2:E2"/>
    <mergeCell ref="B3:E3"/>
    <mergeCell ref="B4:E4"/>
    <mergeCell ref="B22:E22"/>
    <mergeCell ref="B16:E16"/>
  </mergeCells>
  <pageMargins left="0.5" right="0.5" top="0.75" bottom="0.5" header="0.3" footer="0.5"/>
  <pageSetup paperSize="9" firstPageNumber="124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opLeftCell="A16" workbookViewId="0">
      <selection activeCell="C31" sqref="C31"/>
    </sheetView>
  </sheetViews>
  <sheetFormatPr defaultRowHeight="15"/>
  <cols>
    <col min="1" max="1" width="2.85546875" style="142" customWidth="1"/>
    <col min="2" max="2" width="7.28515625" style="170" customWidth="1"/>
    <col min="3" max="3" width="47.85546875" style="402" customWidth="1"/>
    <col min="4" max="4" width="25.7109375" style="402" customWidth="1"/>
    <col min="5" max="5" width="25.7109375" style="268" customWidth="1"/>
    <col min="6" max="6" width="25.7109375" style="170" customWidth="1"/>
    <col min="7" max="7" width="9.140625" style="142"/>
  </cols>
  <sheetData>
    <row r="1" spans="1:11" s="108" customFormat="1" ht="24.95" hidden="1" customHeight="1">
      <c r="A1" s="142"/>
      <c r="B1" s="599" t="s">
        <v>0</v>
      </c>
      <c r="C1" s="599"/>
      <c r="D1" s="599"/>
      <c r="E1" s="599"/>
      <c r="F1" s="599"/>
      <c r="G1" s="269"/>
      <c r="H1" s="106"/>
      <c r="I1" s="16"/>
      <c r="J1" s="16"/>
    </row>
    <row r="2" spans="1:11" s="108" customFormat="1" ht="24.95" hidden="1" customHeight="1">
      <c r="A2" s="142"/>
      <c r="B2" s="600" t="s">
        <v>1571</v>
      </c>
      <c r="C2" s="600"/>
      <c r="D2" s="600"/>
      <c r="E2" s="600"/>
      <c r="F2" s="600"/>
      <c r="G2" s="270"/>
      <c r="H2" s="107"/>
      <c r="I2" s="16"/>
      <c r="J2" s="16"/>
    </row>
    <row r="3" spans="1:11" s="108" customFormat="1" ht="24.95" hidden="1" customHeight="1">
      <c r="A3" s="142"/>
      <c r="B3" s="600" t="s">
        <v>336</v>
      </c>
      <c r="C3" s="600"/>
      <c r="D3" s="600"/>
      <c r="E3" s="600"/>
      <c r="F3" s="600"/>
      <c r="G3" s="270"/>
      <c r="H3" s="107"/>
      <c r="I3" s="109"/>
      <c r="J3" s="109"/>
      <c r="K3" s="109"/>
    </row>
    <row r="4" spans="1:11" s="108" customFormat="1" ht="21" customHeight="1">
      <c r="A4" s="142"/>
      <c r="B4" s="599" t="s">
        <v>2036</v>
      </c>
      <c r="C4" s="599"/>
      <c r="D4" s="599"/>
      <c r="E4" s="599"/>
      <c r="F4" s="599"/>
      <c r="G4" s="269"/>
      <c r="H4" s="106"/>
      <c r="I4" s="110"/>
      <c r="J4" s="110"/>
      <c r="K4" s="110"/>
    </row>
    <row r="5" spans="1:11" ht="21" customHeight="1">
      <c r="B5" s="304"/>
      <c r="C5" s="386" t="s">
        <v>693</v>
      </c>
      <c r="D5" s="141" t="s">
        <v>739</v>
      </c>
      <c r="E5" s="141" t="s">
        <v>740</v>
      </c>
      <c r="F5" s="141" t="s">
        <v>65</v>
      </c>
    </row>
    <row r="6" spans="1:11" ht="21" customHeight="1">
      <c r="B6" s="368"/>
      <c r="C6" s="386"/>
      <c r="D6" s="182" t="s">
        <v>1458</v>
      </c>
      <c r="E6" s="182" t="s">
        <v>1458</v>
      </c>
      <c r="F6" s="182" t="s">
        <v>1458</v>
      </c>
    </row>
    <row r="7" spans="1:11" ht="21" customHeight="1">
      <c r="B7" s="368"/>
      <c r="C7" s="292" t="s">
        <v>752</v>
      </c>
      <c r="D7" s="13"/>
      <c r="E7" s="278"/>
      <c r="F7" s="296"/>
    </row>
    <row r="8" spans="1:11" s="4" customFormat="1" ht="21" customHeight="1">
      <c r="A8" s="204"/>
      <c r="B8" s="368"/>
      <c r="C8" s="134" t="s">
        <v>741</v>
      </c>
      <c r="D8" s="13">
        <v>33364533000</v>
      </c>
      <c r="E8" s="278">
        <v>6113327000</v>
      </c>
      <c r="F8" s="264">
        <f>E8+D8</f>
        <v>39477860000</v>
      </c>
      <c r="G8" s="204"/>
    </row>
    <row r="9" spans="1:11" s="26" customFormat="1" ht="21" customHeight="1">
      <c r="A9" s="263"/>
      <c r="B9" s="368"/>
      <c r="C9" s="134" t="s">
        <v>8</v>
      </c>
      <c r="D9" s="13">
        <v>1122628000</v>
      </c>
      <c r="E9" s="278">
        <v>123064000</v>
      </c>
      <c r="F9" s="264">
        <f>E9+D9</f>
        <v>1245692000</v>
      </c>
      <c r="G9" s="263"/>
    </row>
    <row r="10" spans="1:11" s="26" customFormat="1" ht="21" customHeight="1">
      <c r="A10" s="263"/>
      <c r="B10" s="368"/>
      <c r="C10" s="292" t="s">
        <v>751</v>
      </c>
      <c r="D10" s="293">
        <f>SUM(D8:D9)</f>
        <v>34487161000</v>
      </c>
      <c r="E10" s="293">
        <f>SUM(E8:E9)</f>
        <v>6236391000</v>
      </c>
      <c r="F10" s="293">
        <f>SUM(F8:F9)</f>
        <v>40723552000</v>
      </c>
      <c r="G10" s="263"/>
    </row>
    <row r="11" spans="1:11" s="27" customFormat="1" ht="21" customHeight="1">
      <c r="A11" s="265"/>
      <c r="B11" s="242"/>
      <c r="C11" s="292" t="s">
        <v>753</v>
      </c>
      <c r="D11" s="13"/>
      <c r="E11" s="296"/>
      <c r="F11" s="296"/>
      <c r="G11" s="265"/>
    </row>
    <row r="12" spans="1:11" ht="21" customHeight="1">
      <c r="B12" s="143"/>
      <c r="C12" s="134" t="s">
        <v>742</v>
      </c>
      <c r="D12" s="13">
        <v>20000001000</v>
      </c>
      <c r="E12" s="264">
        <v>0</v>
      </c>
      <c r="F12" s="264">
        <f>E12+D12</f>
        <v>20000001000</v>
      </c>
    </row>
    <row r="13" spans="1:11" ht="21" customHeight="1">
      <c r="B13" s="143"/>
      <c r="C13" s="134" t="s">
        <v>743</v>
      </c>
      <c r="D13" s="13">
        <v>12498258000</v>
      </c>
      <c r="E13" s="278">
        <v>5803261000</v>
      </c>
      <c r="F13" s="264">
        <f t="shared" ref="F13:F20" si="0">E13+D13</f>
        <v>18301519000</v>
      </c>
    </row>
    <row r="14" spans="1:11" ht="21" customHeight="1">
      <c r="B14" s="143"/>
      <c r="C14" s="134" t="s">
        <v>744</v>
      </c>
      <c r="D14" s="13">
        <v>0</v>
      </c>
      <c r="E14" s="278">
        <v>0</v>
      </c>
      <c r="F14" s="264">
        <f t="shared" si="0"/>
        <v>0</v>
      </c>
    </row>
    <row r="15" spans="1:11" ht="21" customHeight="1">
      <c r="B15" s="143"/>
      <c r="C15" s="134" t="s">
        <v>745</v>
      </c>
      <c r="D15" s="13">
        <v>450558000</v>
      </c>
      <c r="E15" s="278">
        <v>10436000</v>
      </c>
      <c r="F15" s="264">
        <f t="shared" si="0"/>
        <v>460994000</v>
      </c>
    </row>
    <row r="16" spans="1:11" ht="21" customHeight="1">
      <c r="B16" s="143"/>
      <c r="C16" s="134" t="s">
        <v>746</v>
      </c>
      <c r="D16" s="13">
        <v>16807000</v>
      </c>
      <c r="E16" s="278">
        <v>0</v>
      </c>
      <c r="F16" s="264">
        <f t="shared" si="0"/>
        <v>16807000</v>
      </c>
    </row>
    <row r="17" spans="1:7" ht="21" customHeight="1">
      <c r="B17" s="143"/>
      <c r="C17" s="134" t="s">
        <v>747</v>
      </c>
      <c r="D17" s="13">
        <v>120097000</v>
      </c>
      <c r="E17" s="278">
        <v>15296000</v>
      </c>
      <c r="F17" s="264">
        <f t="shared" si="0"/>
        <v>135393000</v>
      </c>
    </row>
    <row r="18" spans="1:7" ht="21" customHeight="1">
      <c r="B18" s="143"/>
      <c r="C18" s="134" t="s">
        <v>748</v>
      </c>
      <c r="D18" s="13">
        <v>147000000</v>
      </c>
      <c r="E18" s="278">
        <v>65627000</v>
      </c>
      <c r="F18" s="264">
        <f t="shared" si="0"/>
        <v>212627000</v>
      </c>
    </row>
    <row r="19" spans="1:7" ht="21" customHeight="1">
      <c r="B19" s="143"/>
      <c r="C19" s="134" t="s">
        <v>749</v>
      </c>
      <c r="D19" s="13">
        <v>0</v>
      </c>
      <c r="E19" s="278">
        <v>0</v>
      </c>
      <c r="F19" s="264">
        <f t="shared" si="0"/>
        <v>0</v>
      </c>
    </row>
    <row r="20" spans="1:7" ht="21" customHeight="1">
      <c r="B20" s="143"/>
      <c r="C20" s="134" t="s">
        <v>750</v>
      </c>
      <c r="D20" s="13">
        <v>8000</v>
      </c>
      <c r="E20" s="278">
        <v>91000</v>
      </c>
      <c r="F20" s="264">
        <f t="shared" si="0"/>
        <v>99000</v>
      </c>
    </row>
    <row r="21" spans="1:7" s="6" customFormat="1" ht="21" customHeight="1">
      <c r="A21" s="169"/>
      <c r="B21" s="141"/>
      <c r="C21" s="292" t="s">
        <v>754</v>
      </c>
      <c r="D21" s="293">
        <f>SUM(D12:D20)</f>
        <v>33232729000</v>
      </c>
      <c r="E21" s="293">
        <f>SUM(E12:E20)</f>
        <v>5894711000</v>
      </c>
      <c r="F21" s="293">
        <f>SUM(F12:F20)</f>
        <v>39127440000</v>
      </c>
      <c r="G21" s="169"/>
    </row>
    <row r="22" spans="1:7" ht="21" customHeight="1">
      <c r="B22" s="143"/>
      <c r="C22" s="292" t="s">
        <v>755</v>
      </c>
      <c r="D22" s="293">
        <f>D10-D21</f>
        <v>1254432000</v>
      </c>
      <c r="E22" s="293">
        <f>E10-E21</f>
        <v>341680000</v>
      </c>
      <c r="F22" s="293">
        <f>F10-F21</f>
        <v>1596112000</v>
      </c>
    </row>
    <row r="23" spans="1:7" s="75" customFormat="1" ht="21" customHeight="1">
      <c r="A23" s="142"/>
      <c r="B23" s="252"/>
      <c r="C23" s="295"/>
      <c r="D23" s="61"/>
      <c r="E23" s="61"/>
      <c r="F23" s="61"/>
      <c r="G23" s="142"/>
    </row>
    <row r="24" spans="1:7" ht="21" customHeight="1">
      <c r="C24" s="461" t="s">
        <v>776</v>
      </c>
    </row>
    <row r="25" spans="1:7" ht="21" customHeight="1">
      <c r="B25" s="143"/>
      <c r="C25" s="278" t="s">
        <v>1436</v>
      </c>
      <c r="D25" s="278">
        <v>2561428000</v>
      </c>
      <c r="E25" s="262"/>
      <c r="F25" s="143"/>
    </row>
    <row r="26" spans="1:7" ht="21" customHeight="1">
      <c r="B26" s="143"/>
      <c r="C26" s="278" t="s">
        <v>1435</v>
      </c>
      <c r="D26" s="278">
        <f>D27-D25</f>
        <v>-965316000</v>
      </c>
      <c r="E26" s="262"/>
      <c r="F26" s="143"/>
    </row>
    <row r="27" spans="1:7" ht="21" customHeight="1">
      <c r="B27" s="143"/>
      <c r="C27" s="278" t="s">
        <v>1596</v>
      </c>
      <c r="D27" s="278">
        <f>F22</f>
        <v>1596112000</v>
      </c>
      <c r="E27" s="262"/>
      <c r="F27" s="143"/>
    </row>
  </sheetData>
  <mergeCells count="4">
    <mergeCell ref="B1:F1"/>
    <mergeCell ref="B2:F2"/>
    <mergeCell ref="B3:F3"/>
    <mergeCell ref="B4:F4"/>
  </mergeCells>
  <pageMargins left="0.5" right="0.5" top="0.75" bottom="0.5" header="0.3" footer="0.5"/>
  <pageSetup paperSize="9" firstPageNumber="125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4" zoomScale="106" zoomScaleNormal="106" workbookViewId="0">
      <selection activeCell="A4" sqref="A4:H4"/>
    </sheetView>
  </sheetViews>
  <sheetFormatPr defaultRowHeight="15"/>
  <cols>
    <col min="1" max="1" width="25" style="268" customWidth="1"/>
    <col min="2" max="2" width="15.7109375" style="402" customWidth="1"/>
    <col min="3" max="3" width="16.5703125" style="402" customWidth="1"/>
    <col min="4" max="4" width="15.140625" style="268" customWidth="1"/>
    <col min="5" max="5" width="16" style="268" customWidth="1"/>
    <col min="6" max="6" width="15.28515625" style="268" customWidth="1"/>
    <col min="7" max="7" width="14.5703125" style="268" customWidth="1"/>
    <col min="8" max="8" width="16.7109375" style="170" customWidth="1"/>
    <col min="9" max="9" width="9.140625" style="142"/>
  </cols>
  <sheetData>
    <row r="1" spans="1:10" s="108" customFormat="1" ht="21.95" hidden="1" customHeight="1">
      <c r="A1" s="599" t="s">
        <v>0</v>
      </c>
      <c r="B1" s="599"/>
      <c r="C1" s="599"/>
      <c r="D1" s="599"/>
      <c r="E1" s="599"/>
      <c r="F1" s="599"/>
      <c r="G1" s="599"/>
      <c r="H1" s="599"/>
      <c r="I1" s="171"/>
    </row>
    <row r="2" spans="1:10" s="108" customFormat="1" ht="21.95" hidden="1" customHeight="1">
      <c r="A2" s="600" t="s">
        <v>1571</v>
      </c>
      <c r="B2" s="600"/>
      <c r="C2" s="600"/>
      <c r="D2" s="600"/>
      <c r="E2" s="600"/>
      <c r="F2" s="600"/>
      <c r="G2" s="600"/>
      <c r="H2" s="600"/>
      <c r="I2" s="171"/>
    </row>
    <row r="3" spans="1:10" s="108" customFormat="1" ht="21.95" hidden="1" customHeight="1">
      <c r="A3" s="600" t="s">
        <v>336</v>
      </c>
      <c r="B3" s="600"/>
      <c r="C3" s="600"/>
      <c r="D3" s="600"/>
      <c r="E3" s="600"/>
      <c r="F3" s="600"/>
      <c r="G3" s="600"/>
      <c r="H3" s="600"/>
      <c r="I3" s="298"/>
      <c r="J3" s="109"/>
    </row>
    <row r="4" spans="1:10" s="108" customFormat="1" ht="33" customHeight="1">
      <c r="A4" s="599" t="s">
        <v>2037</v>
      </c>
      <c r="B4" s="599"/>
      <c r="C4" s="599"/>
      <c r="D4" s="599"/>
      <c r="E4" s="599"/>
      <c r="F4" s="599"/>
      <c r="G4" s="599"/>
      <c r="H4" s="599"/>
      <c r="I4" s="299"/>
      <c r="J4" s="110"/>
    </row>
    <row r="5" spans="1:10" ht="12.75" customHeight="1"/>
    <row r="6" spans="1:10" s="29" customFormat="1" ht="36" customHeight="1">
      <c r="A6" s="462"/>
      <c r="B6" s="161" t="s">
        <v>932</v>
      </c>
      <c r="C6" s="304" t="s">
        <v>715</v>
      </c>
      <c r="D6" s="304" t="s">
        <v>933</v>
      </c>
      <c r="E6" s="304" t="s">
        <v>716</v>
      </c>
      <c r="F6" s="304" t="s">
        <v>717</v>
      </c>
      <c r="G6" s="304" t="s">
        <v>934</v>
      </c>
      <c r="H6" s="304" t="s">
        <v>65</v>
      </c>
      <c r="I6" s="360"/>
    </row>
    <row r="7" spans="1:10" ht="26.25" customHeight="1">
      <c r="A7" s="462" t="s">
        <v>939</v>
      </c>
      <c r="B7" s="182" t="s">
        <v>1458</v>
      </c>
      <c r="C7" s="182" t="s">
        <v>1458</v>
      </c>
      <c r="D7" s="182" t="s">
        <v>1458</v>
      </c>
      <c r="E7" s="182" t="s">
        <v>1458</v>
      </c>
      <c r="F7" s="182" t="s">
        <v>1458</v>
      </c>
      <c r="G7" s="182" t="s">
        <v>1458</v>
      </c>
      <c r="H7" s="182" t="s">
        <v>1458</v>
      </c>
    </row>
    <row r="8" spans="1:10" ht="26.25" customHeight="1">
      <c r="A8" s="273" t="s">
        <v>1555</v>
      </c>
      <c r="B8" s="331">
        <v>641662390.39999998</v>
      </c>
      <c r="C8" s="331">
        <v>1723557750.1300001</v>
      </c>
      <c r="D8" s="331">
        <v>138392326.09</v>
      </c>
      <c r="E8" s="331">
        <v>717334681.97000003</v>
      </c>
      <c r="F8" s="331">
        <v>79346602.5</v>
      </c>
      <c r="G8" s="331">
        <v>70266830</v>
      </c>
      <c r="H8" s="331">
        <f>SUM(B8:G8)</f>
        <v>3370560581.0900002</v>
      </c>
    </row>
    <row r="9" spans="1:10" s="4" customFormat="1" ht="26.25" customHeight="1">
      <c r="A9" s="273" t="s">
        <v>937</v>
      </c>
      <c r="B9" s="13">
        <v>2891436122.0300002</v>
      </c>
      <c r="C9" s="264">
        <v>10227660686.549999</v>
      </c>
      <c r="D9" s="264">
        <v>76708000</v>
      </c>
      <c r="E9" s="264">
        <v>540804116.09000003</v>
      </c>
      <c r="F9" s="264">
        <v>1330950433.1500001</v>
      </c>
      <c r="G9" s="264">
        <v>745234132.74000001</v>
      </c>
      <c r="H9" s="331">
        <f>SUM(B9:G9)</f>
        <v>15812793490.559999</v>
      </c>
      <c r="I9" s="204"/>
    </row>
    <row r="10" spans="1:10" s="26" customFormat="1" ht="26.25" customHeight="1">
      <c r="A10" s="273" t="s">
        <v>936</v>
      </c>
      <c r="B10" s="463">
        <v>0</v>
      </c>
      <c r="C10" s="463">
        <v>0</v>
      </c>
      <c r="D10" s="463">
        <v>0</v>
      </c>
      <c r="E10" s="463">
        <v>0</v>
      </c>
      <c r="F10" s="463">
        <v>0</v>
      </c>
      <c r="G10" s="463">
        <v>0</v>
      </c>
      <c r="H10" s="331">
        <f>SUM(B10:G10)</f>
        <v>0</v>
      </c>
      <c r="I10" s="263"/>
    </row>
    <row r="11" spans="1:10" s="17" customFormat="1" ht="26.25" customHeight="1">
      <c r="A11" s="462" t="s">
        <v>938</v>
      </c>
      <c r="B11" s="293">
        <f>SUM(B8:B10)</f>
        <v>3533098512.4300003</v>
      </c>
      <c r="C11" s="293">
        <f t="shared" ref="C11:H11" si="0">SUM(C8:C10)</f>
        <v>11951218436.68</v>
      </c>
      <c r="D11" s="293">
        <f t="shared" si="0"/>
        <v>215100326.09</v>
      </c>
      <c r="E11" s="293">
        <f t="shared" si="0"/>
        <v>1258138798.0599999</v>
      </c>
      <c r="F11" s="293">
        <f t="shared" si="0"/>
        <v>1410297035.6500001</v>
      </c>
      <c r="G11" s="293">
        <f t="shared" si="0"/>
        <v>815500962.74000001</v>
      </c>
      <c r="H11" s="293">
        <f t="shared" si="0"/>
        <v>19183354071.650002</v>
      </c>
      <c r="I11" s="251"/>
    </row>
    <row r="12" spans="1:10" s="27" customFormat="1" ht="26.25" customHeight="1">
      <c r="A12" s="464"/>
      <c r="B12" s="452"/>
      <c r="C12" s="238"/>
      <c r="D12" s="355"/>
      <c r="E12" s="355"/>
      <c r="F12" s="355"/>
      <c r="G12" s="355"/>
      <c r="H12" s="355"/>
      <c r="I12" s="265"/>
    </row>
    <row r="13" spans="1:10" s="6" customFormat="1" ht="26.25" customHeight="1">
      <c r="A13" s="259" t="s">
        <v>940</v>
      </c>
      <c r="B13" s="452"/>
      <c r="C13" s="452"/>
      <c r="D13" s="172"/>
      <c r="E13" s="172"/>
      <c r="F13" s="172"/>
      <c r="G13" s="172"/>
      <c r="H13" s="172"/>
      <c r="I13" s="169"/>
    </row>
    <row r="14" spans="1:10" ht="26.25" customHeight="1">
      <c r="A14" s="262" t="s">
        <v>935</v>
      </c>
      <c r="B14" s="13">
        <v>32083119.52</v>
      </c>
      <c r="C14" s="264">
        <v>86177887.510000005</v>
      </c>
      <c r="D14" s="264">
        <v>13839232.609999999</v>
      </c>
      <c r="E14" s="264">
        <v>143466936.38999999</v>
      </c>
      <c r="F14" s="264">
        <v>19836650.629999999</v>
      </c>
      <c r="G14" s="264">
        <v>14053366</v>
      </c>
      <c r="H14" s="275">
        <f>SUM(B14:G14)</f>
        <v>309457192.65999997</v>
      </c>
    </row>
    <row r="15" spans="1:10" ht="26.25" customHeight="1">
      <c r="A15" s="262" t="s">
        <v>937</v>
      </c>
      <c r="B15" s="13">
        <v>176654925.62</v>
      </c>
      <c r="C15" s="264">
        <v>597560921.83000004</v>
      </c>
      <c r="D15" s="264">
        <v>21510032.609000001</v>
      </c>
      <c r="E15" s="264">
        <v>251627759.61000001</v>
      </c>
      <c r="F15" s="264">
        <v>352574258.91250002</v>
      </c>
      <c r="G15" s="264">
        <v>163100192.54800001</v>
      </c>
      <c r="H15" s="275">
        <f>SUM(B15:G15)</f>
        <v>1563028091.1295002</v>
      </c>
    </row>
    <row r="16" spans="1:10" ht="26.25" customHeight="1">
      <c r="A16" s="262" t="s">
        <v>936</v>
      </c>
      <c r="B16" s="463">
        <v>0</v>
      </c>
      <c r="C16" s="463">
        <v>0</v>
      </c>
      <c r="D16" s="278">
        <v>0</v>
      </c>
      <c r="E16" s="278">
        <v>0</v>
      </c>
      <c r="F16" s="278">
        <v>0</v>
      </c>
      <c r="G16" s="278">
        <v>0</v>
      </c>
      <c r="H16" s="275">
        <f>SUM(B16:G16)</f>
        <v>0</v>
      </c>
    </row>
    <row r="17" spans="1:9" s="14" customFormat="1" ht="26.25" customHeight="1">
      <c r="A17" s="259" t="s">
        <v>938</v>
      </c>
      <c r="B17" s="465">
        <f t="shared" ref="B17:G17" si="1">SUM(B14:B16)</f>
        <v>208738045.14000002</v>
      </c>
      <c r="C17" s="465">
        <f t="shared" si="1"/>
        <v>683738809.34000003</v>
      </c>
      <c r="D17" s="465">
        <f t="shared" si="1"/>
        <v>35349265.218999997</v>
      </c>
      <c r="E17" s="465">
        <f t="shared" si="1"/>
        <v>395094696</v>
      </c>
      <c r="F17" s="465">
        <f t="shared" si="1"/>
        <v>372410909.54250002</v>
      </c>
      <c r="G17" s="465">
        <f t="shared" si="1"/>
        <v>177153558.54800001</v>
      </c>
      <c r="H17" s="321">
        <f>SUM(B17:G17)</f>
        <v>1872485283.7895</v>
      </c>
      <c r="I17" s="301"/>
    </row>
    <row r="18" spans="1:9" ht="26.25" customHeight="1">
      <c r="A18" s="262"/>
      <c r="B18" s="238"/>
      <c r="C18" s="238"/>
      <c r="D18" s="262"/>
      <c r="E18" s="262"/>
      <c r="F18" s="262"/>
      <c r="G18" s="262"/>
      <c r="H18" s="143"/>
    </row>
    <row r="19" spans="1:9" s="6" customFormat="1" ht="26.25" customHeight="1">
      <c r="A19" s="259" t="s">
        <v>941</v>
      </c>
      <c r="B19" s="452"/>
      <c r="C19" s="452"/>
      <c r="D19" s="259"/>
      <c r="E19" s="259"/>
      <c r="F19" s="259"/>
      <c r="G19" s="259"/>
      <c r="H19" s="141"/>
      <c r="I19" s="169"/>
    </row>
    <row r="20" spans="1:9" s="14" customFormat="1" ht="26.25" customHeight="1">
      <c r="A20" s="259" t="s">
        <v>1582</v>
      </c>
      <c r="B20" s="465">
        <f t="shared" ref="B20:G20" si="2">B11-B17</f>
        <v>3324360467.2900004</v>
      </c>
      <c r="C20" s="465">
        <f t="shared" si="2"/>
        <v>11267479627.34</v>
      </c>
      <c r="D20" s="465">
        <f t="shared" si="2"/>
        <v>179751060.87099999</v>
      </c>
      <c r="E20" s="465">
        <f t="shared" si="2"/>
        <v>863044102.05999994</v>
      </c>
      <c r="F20" s="465">
        <f t="shared" si="2"/>
        <v>1037886126.1075001</v>
      </c>
      <c r="G20" s="465">
        <f t="shared" si="2"/>
        <v>638347404.19200003</v>
      </c>
      <c r="H20" s="321">
        <f>SUM(B20:G20)</f>
        <v>17310868787.8605</v>
      </c>
      <c r="I20" s="301"/>
    </row>
  </sheetData>
  <mergeCells count="4">
    <mergeCell ref="A1:H1"/>
    <mergeCell ref="A2:H2"/>
    <mergeCell ref="A3:H3"/>
    <mergeCell ref="A4:H4"/>
  </mergeCells>
  <pageMargins left="0.5" right="0.5" top="0.75" bottom="0.25" header="0.3" footer="0.5"/>
  <pageSetup paperSize="9" firstPageNumber="126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opLeftCell="A15" zoomScale="106" zoomScaleNormal="106" workbookViewId="0">
      <selection activeCell="C31" sqref="C31"/>
    </sheetView>
  </sheetViews>
  <sheetFormatPr defaultRowHeight="15"/>
  <cols>
    <col min="1" max="1" width="2.85546875" style="142" customWidth="1"/>
    <col min="2" max="2" width="47.85546875" style="402" customWidth="1"/>
    <col min="3" max="3" width="25.7109375" style="402" customWidth="1"/>
    <col min="4" max="4" width="25.7109375" style="268" customWidth="1"/>
    <col min="5" max="5" width="25.7109375" style="170" customWidth="1"/>
    <col min="6" max="6" width="9.140625" style="142"/>
  </cols>
  <sheetData>
    <row r="1" spans="1:11" s="108" customFormat="1" ht="24.95" customHeight="1">
      <c r="A1" s="142"/>
      <c r="B1" s="599" t="s">
        <v>0</v>
      </c>
      <c r="C1" s="599"/>
      <c r="D1" s="599"/>
      <c r="E1" s="599"/>
      <c r="F1" s="269"/>
      <c r="G1" s="106"/>
      <c r="H1" s="106"/>
      <c r="I1" s="16"/>
      <c r="J1" s="16"/>
    </row>
    <row r="2" spans="1:11" s="108" customFormat="1" ht="24.95" customHeight="1">
      <c r="A2" s="142"/>
      <c r="B2" s="600" t="s">
        <v>1571</v>
      </c>
      <c r="C2" s="600"/>
      <c r="D2" s="600"/>
      <c r="E2" s="600"/>
      <c r="F2" s="270"/>
      <c r="G2" s="107"/>
      <c r="H2" s="107"/>
      <c r="I2" s="16"/>
      <c r="J2" s="16"/>
    </row>
    <row r="3" spans="1:11" s="108" customFormat="1" ht="24.95" customHeight="1">
      <c r="A3" s="142"/>
      <c r="B3" s="600" t="s">
        <v>336</v>
      </c>
      <c r="C3" s="600"/>
      <c r="D3" s="600"/>
      <c r="E3" s="600"/>
      <c r="F3" s="270"/>
      <c r="G3" s="107"/>
      <c r="H3" s="107"/>
      <c r="I3" s="109"/>
      <c r="J3" s="109"/>
      <c r="K3" s="109"/>
    </row>
    <row r="4" spans="1:11" s="108" customFormat="1" ht="24.95" customHeight="1">
      <c r="A4" s="142"/>
      <c r="B4" s="599" t="s">
        <v>1533</v>
      </c>
      <c r="C4" s="599"/>
      <c r="D4" s="599"/>
      <c r="E4" s="599"/>
      <c r="F4" s="269"/>
      <c r="G4" s="106"/>
      <c r="H4" s="106"/>
      <c r="I4" s="110"/>
      <c r="J4" s="110"/>
      <c r="K4" s="110"/>
    </row>
    <row r="5" spans="1:11" ht="6.75" customHeight="1"/>
    <row r="6" spans="1:11" s="16" customFormat="1" ht="20.100000000000001" customHeight="1">
      <c r="A6" s="171"/>
      <c r="B6" s="386" t="s">
        <v>693</v>
      </c>
      <c r="C6" s="182" t="s">
        <v>1458</v>
      </c>
      <c r="D6" s="182" t="s">
        <v>1458</v>
      </c>
      <c r="E6" s="182" t="s">
        <v>1458</v>
      </c>
      <c r="F6" s="171"/>
    </row>
    <row r="7" spans="1:11" s="16" customFormat="1" ht="20.100000000000001" customHeight="1">
      <c r="A7" s="171"/>
      <c r="B7" s="292" t="s">
        <v>922</v>
      </c>
      <c r="C7" s="134"/>
      <c r="D7" s="262"/>
      <c r="E7" s="242"/>
      <c r="F7" s="171"/>
    </row>
    <row r="8" spans="1:11" s="17" customFormat="1" ht="20.100000000000001" customHeight="1">
      <c r="A8" s="251"/>
      <c r="B8" s="134" t="s">
        <v>924</v>
      </c>
      <c r="C8" s="13">
        <v>1408280430.52</v>
      </c>
      <c r="D8" s="278"/>
      <c r="E8" s="264"/>
      <c r="F8" s="251"/>
    </row>
    <row r="9" spans="1:11" s="17" customFormat="1" ht="20.100000000000001" customHeight="1">
      <c r="A9" s="251"/>
      <c r="B9" s="134" t="s">
        <v>923</v>
      </c>
      <c r="C9" s="13">
        <v>1287626679.54</v>
      </c>
      <c r="D9" s="278"/>
      <c r="E9" s="264"/>
      <c r="F9" s="251"/>
    </row>
    <row r="10" spans="1:11" s="20" customFormat="1" ht="20.100000000000001" customHeight="1">
      <c r="A10" s="149"/>
      <c r="B10" s="292" t="s">
        <v>773</v>
      </c>
      <c r="C10" s="293"/>
      <c r="D10" s="386">
        <f>C9+C8</f>
        <v>2695907110.0599999</v>
      </c>
      <c r="E10" s="266"/>
      <c r="F10" s="149"/>
    </row>
    <row r="11" spans="1:11" s="16" customFormat="1" ht="20.100000000000001" customHeight="1">
      <c r="A11" s="171"/>
      <c r="B11" s="292" t="s">
        <v>925</v>
      </c>
      <c r="C11" s="13"/>
      <c r="D11" s="296"/>
      <c r="E11" s="296"/>
      <c r="F11" s="171"/>
    </row>
    <row r="12" spans="1:11" s="16" customFormat="1" ht="20.100000000000001" customHeight="1">
      <c r="A12" s="171"/>
      <c r="B12" s="134" t="s">
        <v>924</v>
      </c>
      <c r="C12" s="13">
        <f>127916633.58+206504026.9</f>
        <v>334420660.48000002</v>
      </c>
      <c r="D12" s="266"/>
      <c r="E12" s="266"/>
      <c r="F12" s="171"/>
    </row>
    <row r="13" spans="1:11" s="16" customFormat="1" ht="20.100000000000001" customHeight="1">
      <c r="A13" s="171"/>
      <c r="B13" s="134" t="s">
        <v>923</v>
      </c>
      <c r="C13" s="13">
        <f>128629714.5+139659075.63</f>
        <v>268288790.13</v>
      </c>
      <c r="D13" s="278"/>
      <c r="E13" s="264"/>
      <c r="F13" s="171"/>
    </row>
    <row r="14" spans="1:11" s="14" customFormat="1" ht="20.100000000000001" customHeight="1">
      <c r="A14" s="301"/>
      <c r="B14" s="292" t="s">
        <v>65</v>
      </c>
      <c r="C14" s="293"/>
      <c r="D14" s="386">
        <f>C13+C12</f>
        <v>602709450.61000001</v>
      </c>
      <c r="E14" s="266"/>
      <c r="F14" s="301"/>
    </row>
    <row r="15" spans="1:11" s="14" customFormat="1" ht="20.100000000000001" customHeight="1">
      <c r="A15" s="301"/>
      <c r="B15" s="292" t="s">
        <v>926</v>
      </c>
      <c r="C15" s="293"/>
      <c r="D15" s="386"/>
      <c r="E15" s="266"/>
      <c r="F15" s="301"/>
    </row>
    <row r="16" spans="1:11" s="16" customFormat="1" ht="20.100000000000001" customHeight="1">
      <c r="A16" s="171"/>
      <c r="B16" s="134" t="s">
        <v>927</v>
      </c>
      <c r="C16" s="13"/>
      <c r="D16" s="386">
        <f>873075148.15-86505337.82-94369459.44</f>
        <v>692200350.88999987</v>
      </c>
      <c r="E16" s="264"/>
      <c r="F16" s="171"/>
    </row>
    <row r="17" spans="1:6" s="14" customFormat="1" ht="20.100000000000001" customHeight="1">
      <c r="A17" s="301"/>
      <c r="B17" s="292" t="s">
        <v>335</v>
      </c>
      <c r="C17" s="293"/>
      <c r="D17" s="386"/>
      <c r="E17" s="266">
        <f>D16+D14+D10</f>
        <v>3990816911.5599999</v>
      </c>
      <c r="F17" s="301"/>
    </row>
    <row r="18" spans="1:6" ht="24.75" customHeight="1">
      <c r="B18" s="602" t="s">
        <v>1475</v>
      </c>
      <c r="C18" s="602"/>
      <c r="D18" s="602"/>
      <c r="E18" s="602"/>
    </row>
    <row r="19" spans="1:6" ht="20.100000000000001" customHeight="1">
      <c r="B19" s="386" t="s">
        <v>693</v>
      </c>
      <c r="C19" s="182" t="s">
        <v>1458</v>
      </c>
      <c r="D19" s="182" t="s">
        <v>1458</v>
      </c>
      <c r="E19" s="182" t="s">
        <v>1458</v>
      </c>
    </row>
    <row r="20" spans="1:6" ht="20.100000000000001" customHeight="1">
      <c r="B20" s="278" t="s">
        <v>928</v>
      </c>
      <c r="C20" s="278">
        <v>499743683.19999999</v>
      </c>
      <c r="D20" s="278"/>
      <c r="E20" s="143"/>
    </row>
    <row r="21" spans="1:6" ht="20.100000000000001" customHeight="1">
      <c r="B21" s="278" t="s">
        <v>929</v>
      </c>
      <c r="C21" s="278">
        <v>16256316.800000001</v>
      </c>
      <c r="D21" s="278"/>
      <c r="E21" s="143"/>
    </row>
    <row r="22" spans="1:6" ht="20.100000000000001" customHeight="1">
      <c r="B22" s="278" t="s">
        <v>930</v>
      </c>
      <c r="C22" s="278"/>
      <c r="D22" s="278">
        <f>C21+C20</f>
        <v>516000000</v>
      </c>
      <c r="E22" s="143"/>
    </row>
    <row r="23" spans="1:6" ht="20.100000000000001" customHeight="1">
      <c r="B23" s="278" t="s">
        <v>931</v>
      </c>
      <c r="C23" s="278"/>
      <c r="D23" s="278"/>
      <c r="E23" s="143"/>
    </row>
    <row r="24" spans="1:6" ht="20.100000000000001" customHeight="1">
      <c r="B24" s="278" t="s">
        <v>1644</v>
      </c>
      <c r="C24" s="278"/>
      <c r="D24" s="278">
        <f>438169.57+467174946.51</f>
        <v>467613116.07999998</v>
      </c>
      <c r="E24" s="143"/>
    </row>
    <row r="25" spans="1:6" s="6" customFormat="1" ht="20.100000000000001" customHeight="1">
      <c r="A25" s="169"/>
      <c r="B25" s="386" t="s">
        <v>755</v>
      </c>
      <c r="C25" s="386"/>
      <c r="D25" s="386"/>
      <c r="E25" s="321">
        <f>D22-D24</f>
        <v>48386883.920000017</v>
      </c>
      <c r="F25" s="169"/>
    </row>
  </sheetData>
  <mergeCells count="5">
    <mergeCell ref="B1:E1"/>
    <mergeCell ref="B2:E2"/>
    <mergeCell ref="B3:E3"/>
    <mergeCell ref="B4:E4"/>
    <mergeCell ref="B18:E18"/>
  </mergeCells>
  <pageMargins left="0.5" right="0.5" top="0.75" bottom="0.5" header="0.3" footer="0.5"/>
  <pageSetup paperSize="9" firstPageNumber="93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3"/>
  <sheetViews>
    <sheetView topLeftCell="A331" zoomScale="106" zoomScaleNormal="106" workbookViewId="0">
      <selection activeCell="E351" sqref="E351"/>
    </sheetView>
  </sheetViews>
  <sheetFormatPr defaultRowHeight="15"/>
  <cols>
    <col min="1" max="1" width="2.85546875" style="142" customWidth="1"/>
    <col min="2" max="2" width="5.5703125" style="170" customWidth="1"/>
    <col min="3" max="3" width="24.28515625" style="396" customWidth="1"/>
    <col min="4" max="4" width="21.28515625" style="443" customWidth="1"/>
    <col min="5" max="5" width="44.85546875" style="396" customWidth="1"/>
    <col min="6" max="6" width="17.7109375" style="138" customWidth="1"/>
    <col min="7" max="7" width="16.7109375" style="138" customWidth="1"/>
    <col min="8" max="8" width="9.140625" style="142"/>
  </cols>
  <sheetData>
    <row r="1" spans="1:9" s="108" customFormat="1" ht="21.95" customHeight="1">
      <c r="A1" s="142"/>
      <c r="B1" s="599" t="s">
        <v>0</v>
      </c>
      <c r="C1" s="599"/>
      <c r="D1" s="599"/>
      <c r="E1" s="599"/>
      <c r="F1" s="599"/>
      <c r="G1" s="599"/>
      <c r="H1" s="269"/>
    </row>
    <row r="2" spans="1:9" s="108" customFormat="1" ht="21.95" customHeight="1">
      <c r="A2" s="142"/>
      <c r="B2" s="600" t="s">
        <v>1571</v>
      </c>
      <c r="C2" s="600"/>
      <c r="D2" s="600"/>
      <c r="E2" s="600"/>
      <c r="F2" s="600"/>
      <c r="G2" s="600"/>
      <c r="H2" s="270"/>
    </row>
    <row r="3" spans="1:9" s="108" customFormat="1" ht="21.95" customHeight="1">
      <c r="A3" s="142"/>
      <c r="B3" s="600" t="s">
        <v>336</v>
      </c>
      <c r="C3" s="600"/>
      <c r="D3" s="600"/>
      <c r="E3" s="600"/>
      <c r="F3" s="600"/>
      <c r="G3" s="600"/>
      <c r="H3" s="270"/>
      <c r="I3" s="109"/>
    </row>
    <row r="4" spans="1:9" s="108" customFormat="1" ht="21.95" customHeight="1">
      <c r="A4" s="142"/>
      <c r="B4" s="599" t="s">
        <v>1534</v>
      </c>
      <c r="C4" s="599"/>
      <c r="D4" s="599"/>
      <c r="E4" s="599"/>
      <c r="F4" s="599"/>
      <c r="G4" s="599"/>
      <c r="H4" s="269"/>
      <c r="I4" s="110"/>
    </row>
    <row r="5" spans="1:9" ht="12.75" customHeight="1">
      <c r="B5" s="361"/>
    </row>
    <row r="6" spans="1:9" s="15" customFormat="1" ht="24.95" customHeight="1">
      <c r="A6" s="170"/>
      <c r="B6" s="444" t="s">
        <v>87</v>
      </c>
      <c r="C6" s="445" t="s">
        <v>830</v>
      </c>
      <c r="D6" s="446" t="s">
        <v>1363</v>
      </c>
      <c r="E6" s="447" t="s">
        <v>693</v>
      </c>
      <c r="F6" s="448" t="s">
        <v>827</v>
      </c>
      <c r="G6" s="448" t="s">
        <v>65</v>
      </c>
      <c r="H6" s="170"/>
    </row>
    <row r="7" spans="1:9" s="15" customFormat="1" ht="20.100000000000001" customHeight="1">
      <c r="A7" s="170"/>
      <c r="B7" s="276"/>
      <c r="C7" s="165"/>
      <c r="D7" s="446"/>
      <c r="E7" s="165"/>
      <c r="F7" s="449" t="s">
        <v>1458</v>
      </c>
      <c r="G7" s="449" t="s">
        <v>1458</v>
      </c>
      <c r="H7" s="170"/>
    </row>
    <row r="8" spans="1:9" s="77" customFormat="1" ht="20.100000000000001" customHeight="1">
      <c r="A8" s="450"/>
      <c r="B8" s="238">
        <v>1</v>
      </c>
      <c r="C8" s="165" t="s">
        <v>1697</v>
      </c>
      <c r="D8" s="451" t="s">
        <v>821</v>
      </c>
      <c r="E8" s="165" t="s">
        <v>1698</v>
      </c>
      <c r="F8" s="166">
        <v>64610954.43</v>
      </c>
      <c r="G8" s="139"/>
      <c r="H8" s="450"/>
    </row>
    <row r="9" spans="1:9" s="77" customFormat="1" ht="20.100000000000001" customHeight="1">
      <c r="A9" s="450"/>
      <c r="B9" s="238"/>
      <c r="C9" s="165"/>
      <c r="D9" s="451"/>
      <c r="E9" s="165" t="s">
        <v>1699</v>
      </c>
      <c r="F9" s="166">
        <f>25000000+91024654.64+78716196.63+195225900.24+123771653.09+66647261.75+94204088.76-195.03</f>
        <v>674589560.08000004</v>
      </c>
      <c r="G9" s="139"/>
      <c r="H9" s="450"/>
    </row>
    <row r="10" spans="1:9" s="77" customFormat="1" ht="20.100000000000001" customHeight="1">
      <c r="A10" s="450"/>
      <c r="B10" s="238"/>
      <c r="C10" s="165"/>
      <c r="D10" s="451"/>
      <c r="E10" s="165" t="s">
        <v>1700</v>
      </c>
      <c r="F10" s="166">
        <v>5745912.1299999999</v>
      </c>
      <c r="G10" s="139"/>
      <c r="H10" s="450"/>
    </row>
    <row r="11" spans="1:9" s="77" customFormat="1" ht="20.100000000000001" customHeight="1">
      <c r="A11" s="450"/>
      <c r="B11" s="238"/>
      <c r="C11" s="165"/>
      <c r="D11" s="451"/>
      <c r="E11" s="165" t="s">
        <v>1701</v>
      </c>
      <c r="F11" s="166">
        <v>2601288.56</v>
      </c>
      <c r="G11" s="139"/>
      <c r="H11" s="450"/>
    </row>
    <row r="12" spans="1:9" s="77" customFormat="1" ht="20.100000000000001" customHeight="1">
      <c r="A12" s="450"/>
      <c r="B12" s="238"/>
      <c r="C12" s="165"/>
      <c r="D12" s="451"/>
      <c r="E12" s="165" t="s">
        <v>1703</v>
      </c>
      <c r="F12" s="166">
        <v>8293091.7800000003</v>
      </c>
      <c r="G12" s="139"/>
      <c r="H12" s="450"/>
    </row>
    <row r="13" spans="1:9" s="77" customFormat="1" ht="20.100000000000001" customHeight="1">
      <c r="A13" s="450"/>
      <c r="B13" s="238"/>
      <c r="C13" s="165"/>
      <c r="D13" s="451"/>
      <c r="E13" s="165" t="s">
        <v>1704</v>
      </c>
      <c r="F13" s="166">
        <v>11932826.35</v>
      </c>
      <c r="G13" s="139"/>
      <c r="H13" s="450"/>
    </row>
    <row r="14" spans="1:9" s="77" customFormat="1" ht="20.100000000000001" customHeight="1">
      <c r="A14" s="450"/>
      <c r="B14" s="238"/>
      <c r="C14" s="165"/>
      <c r="D14" s="451"/>
      <c r="E14" s="165" t="s">
        <v>1705</v>
      </c>
      <c r="F14" s="166">
        <f>69897208.5+4343925.4+27298804.08</f>
        <v>101539937.98</v>
      </c>
      <c r="G14" s="139"/>
      <c r="H14" s="450"/>
    </row>
    <row r="15" spans="1:9" s="77" customFormat="1" ht="20.100000000000001" customHeight="1">
      <c r="A15" s="450"/>
      <c r="B15" s="238"/>
      <c r="C15" s="165"/>
      <c r="D15" s="451"/>
      <c r="E15" s="165" t="s">
        <v>1706</v>
      </c>
      <c r="F15" s="166">
        <f>50000000+40000000+49298188.99+38767809.6</f>
        <v>178065998.59</v>
      </c>
      <c r="G15" s="139"/>
      <c r="H15" s="450"/>
    </row>
    <row r="16" spans="1:9" s="77" customFormat="1" ht="20.100000000000001" customHeight="1">
      <c r="A16" s="450"/>
      <c r="B16" s="238"/>
      <c r="C16" s="165"/>
      <c r="D16" s="451"/>
      <c r="E16" s="165" t="s">
        <v>1707</v>
      </c>
      <c r="F16" s="166">
        <v>34890689.509999998</v>
      </c>
      <c r="G16" s="139"/>
      <c r="H16" s="450"/>
    </row>
    <row r="17" spans="1:8" s="77" customFormat="1" ht="20.100000000000001" customHeight="1">
      <c r="A17" s="450"/>
      <c r="B17" s="238"/>
      <c r="C17" s="165"/>
      <c r="D17" s="451"/>
      <c r="E17" s="165" t="s">
        <v>1708</v>
      </c>
      <c r="F17" s="166">
        <v>28410385.050000001</v>
      </c>
      <c r="G17" s="139"/>
      <c r="H17" s="450"/>
    </row>
    <row r="18" spans="1:8" s="77" customFormat="1" ht="20.100000000000001" customHeight="1">
      <c r="A18" s="450"/>
      <c r="B18" s="238"/>
      <c r="C18" s="165"/>
      <c r="D18" s="451"/>
      <c r="E18" s="165" t="s">
        <v>1709</v>
      </c>
      <c r="F18" s="166">
        <v>17048361.23</v>
      </c>
      <c r="G18" s="139"/>
      <c r="H18" s="450"/>
    </row>
    <row r="19" spans="1:8" s="77" customFormat="1" ht="20.100000000000001" customHeight="1">
      <c r="A19" s="450"/>
      <c r="B19" s="238"/>
      <c r="C19" s="165"/>
      <c r="D19" s="451"/>
      <c r="E19" s="165" t="s">
        <v>1710</v>
      </c>
      <c r="F19" s="166">
        <v>35519695.130000003</v>
      </c>
      <c r="G19" s="139"/>
      <c r="H19" s="450"/>
    </row>
    <row r="20" spans="1:8" s="77" customFormat="1" ht="20.100000000000001" customHeight="1">
      <c r="A20" s="450"/>
      <c r="B20" s="238"/>
      <c r="C20" s="165"/>
      <c r="D20" s="451"/>
      <c r="E20" s="165" t="s">
        <v>1711</v>
      </c>
      <c r="F20" s="166">
        <v>4529595</v>
      </c>
      <c r="G20" s="139"/>
      <c r="H20" s="450"/>
    </row>
    <row r="21" spans="1:8" s="77" customFormat="1" ht="20.100000000000001" customHeight="1">
      <c r="A21" s="450"/>
      <c r="B21" s="238"/>
      <c r="C21" s="165"/>
      <c r="D21" s="451"/>
      <c r="E21" s="165" t="s">
        <v>1712</v>
      </c>
      <c r="F21" s="166">
        <f>33102678.85+40000000+88601106.77</f>
        <v>161703785.62</v>
      </c>
      <c r="G21" s="139"/>
      <c r="H21" s="450"/>
    </row>
    <row r="22" spans="1:8" s="52" customFormat="1" ht="20.100000000000001" customHeight="1">
      <c r="A22" s="427"/>
      <c r="B22" s="238"/>
      <c r="C22" s="165"/>
      <c r="D22" s="451"/>
      <c r="E22" s="165" t="s">
        <v>1702</v>
      </c>
      <c r="F22" s="166">
        <f>106666787.02+200000000+230000000-70613280</f>
        <v>466053507.01999998</v>
      </c>
      <c r="G22" s="137"/>
      <c r="H22" s="427"/>
    </row>
    <row r="23" spans="1:8" s="52" customFormat="1" ht="20.100000000000001" customHeight="1">
      <c r="A23" s="427"/>
      <c r="B23" s="238"/>
      <c r="C23" s="165"/>
      <c r="D23" s="451"/>
      <c r="E23" s="165" t="s">
        <v>1713</v>
      </c>
      <c r="F23" s="166">
        <v>325240955.95999998</v>
      </c>
      <c r="G23" s="137"/>
      <c r="H23" s="427"/>
    </row>
    <row r="24" spans="1:8" s="52" customFormat="1" ht="20.100000000000001" customHeight="1">
      <c r="A24" s="427"/>
      <c r="B24" s="238"/>
      <c r="C24" s="165"/>
      <c r="D24" s="451"/>
      <c r="E24" s="165" t="s">
        <v>1714</v>
      </c>
      <c r="F24" s="166">
        <f>75000000+100000000</f>
        <v>175000000</v>
      </c>
      <c r="G24" s="137"/>
      <c r="H24" s="427"/>
    </row>
    <row r="25" spans="1:8" s="52" customFormat="1" ht="20.100000000000001" customHeight="1">
      <c r="A25" s="427"/>
      <c r="B25" s="238"/>
      <c r="C25" s="165"/>
      <c r="D25" s="451"/>
      <c r="E25" s="165" t="s">
        <v>1715</v>
      </c>
      <c r="F25" s="166">
        <v>4876720.47</v>
      </c>
      <c r="G25" s="137"/>
      <c r="H25" s="427"/>
    </row>
    <row r="26" spans="1:8" s="52" customFormat="1" ht="20.100000000000001" customHeight="1">
      <c r="A26" s="427"/>
      <c r="B26" s="238"/>
      <c r="C26" s="165"/>
      <c r="D26" s="451"/>
      <c r="E26" s="165" t="s">
        <v>1716</v>
      </c>
      <c r="F26" s="166">
        <v>1618800</v>
      </c>
      <c r="G26" s="137"/>
      <c r="H26" s="427"/>
    </row>
    <row r="27" spans="1:8" s="52" customFormat="1" ht="20.100000000000001" customHeight="1">
      <c r="A27" s="427"/>
      <c r="B27" s="238"/>
      <c r="C27" s="165"/>
      <c r="D27" s="451"/>
      <c r="E27" s="165" t="s">
        <v>1717</v>
      </c>
      <c r="F27" s="166">
        <v>12484358.25</v>
      </c>
      <c r="G27" s="137"/>
      <c r="H27" s="427"/>
    </row>
    <row r="28" spans="1:8" s="52" customFormat="1" ht="20.100000000000001" customHeight="1">
      <c r="A28" s="427"/>
      <c r="B28" s="238"/>
      <c r="C28" s="165"/>
      <c r="D28" s="451"/>
      <c r="E28" s="165" t="s">
        <v>1718</v>
      </c>
      <c r="F28" s="166">
        <v>3041120.25</v>
      </c>
      <c r="G28" s="137"/>
      <c r="H28" s="427"/>
    </row>
    <row r="29" spans="1:8" s="52" customFormat="1" ht="20.100000000000001" customHeight="1">
      <c r="A29" s="427"/>
      <c r="B29" s="238"/>
      <c r="C29" s="165"/>
      <c r="D29" s="451"/>
      <c r="E29" s="165" t="s">
        <v>1719</v>
      </c>
      <c r="F29" s="166">
        <v>81145351.5</v>
      </c>
      <c r="G29" s="137"/>
      <c r="H29" s="427"/>
    </row>
    <row r="30" spans="1:8" s="52" customFormat="1" ht="20.100000000000001" customHeight="1">
      <c r="A30" s="427"/>
      <c r="B30" s="238"/>
      <c r="C30" s="165"/>
      <c r="D30" s="451"/>
      <c r="E30" s="165" t="s">
        <v>1720</v>
      </c>
      <c r="F30" s="166">
        <v>6663378.75</v>
      </c>
      <c r="G30" s="137"/>
      <c r="H30" s="427"/>
    </row>
    <row r="31" spans="1:8" s="52" customFormat="1" ht="20.100000000000001" customHeight="1">
      <c r="A31" s="427"/>
      <c r="B31" s="238"/>
      <c r="C31" s="165"/>
      <c r="D31" s="451"/>
      <c r="E31" s="165" t="s">
        <v>1721</v>
      </c>
      <c r="F31" s="166">
        <v>1474377</v>
      </c>
      <c r="G31" s="137"/>
      <c r="H31" s="427"/>
    </row>
    <row r="32" spans="1:8" s="51" customFormat="1" ht="20.100000000000001" customHeight="1">
      <c r="A32" s="419"/>
      <c r="B32" s="238"/>
      <c r="C32" s="165"/>
      <c r="D32" s="451"/>
      <c r="E32" s="165" t="s">
        <v>1722</v>
      </c>
      <c r="F32" s="166">
        <v>16139879.6</v>
      </c>
      <c r="G32" s="140"/>
      <c r="H32" s="419"/>
    </row>
    <row r="33" spans="1:8" s="52" customFormat="1" ht="20.100000000000001" customHeight="1">
      <c r="A33" s="427"/>
      <c r="B33" s="238"/>
      <c r="C33" s="165"/>
      <c r="D33" s="451"/>
      <c r="E33" s="165" t="s">
        <v>1723</v>
      </c>
      <c r="F33" s="166">
        <v>32412956.149999999</v>
      </c>
      <c r="G33" s="137"/>
      <c r="H33" s="427"/>
    </row>
    <row r="34" spans="1:8" s="52" customFormat="1" ht="20.100000000000001" customHeight="1">
      <c r="A34" s="427"/>
      <c r="B34" s="238"/>
      <c r="C34" s="165"/>
      <c r="D34" s="451"/>
      <c r="E34" s="165" t="s">
        <v>1724</v>
      </c>
      <c r="F34" s="166">
        <v>33418256.640000001</v>
      </c>
      <c r="G34" s="137"/>
      <c r="H34" s="427"/>
    </row>
    <row r="35" spans="1:8" s="52" customFormat="1" ht="20.100000000000001" customHeight="1">
      <c r="A35" s="427"/>
      <c r="B35" s="238"/>
      <c r="C35" s="165"/>
      <c r="D35" s="451"/>
      <c r="E35" s="165" t="s">
        <v>1725</v>
      </c>
      <c r="F35" s="166">
        <v>31181544.18</v>
      </c>
      <c r="G35" s="137"/>
      <c r="H35" s="427"/>
    </row>
    <row r="36" spans="1:8" s="52" customFormat="1" ht="20.100000000000001" customHeight="1">
      <c r="A36" s="427"/>
      <c r="B36" s="238"/>
      <c r="C36" s="165"/>
      <c r="D36" s="451"/>
      <c r="E36" s="165" t="s">
        <v>1726</v>
      </c>
      <c r="F36" s="166">
        <v>9156315</v>
      </c>
      <c r="G36" s="137"/>
      <c r="H36" s="427"/>
    </row>
    <row r="37" spans="1:8" s="52" customFormat="1" ht="20.100000000000001" customHeight="1">
      <c r="A37" s="427"/>
      <c r="B37" s="238"/>
      <c r="C37" s="165"/>
      <c r="D37" s="451"/>
      <c r="E37" s="165" t="s">
        <v>1727</v>
      </c>
      <c r="F37" s="166">
        <v>41532579.840000004</v>
      </c>
      <c r="G37" s="137"/>
      <c r="H37" s="427"/>
    </row>
    <row r="38" spans="1:8" s="52" customFormat="1" ht="20.100000000000001" customHeight="1">
      <c r="A38" s="427"/>
      <c r="B38" s="238"/>
      <c r="C38" s="165"/>
      <c r="D38" s="451"/>
      <c r="E38" s="165" t="s">
        <v>1728</v>
      </c>
      <c r="F38" s="166">
        <v>19530872.949999999</v>
      </c>
      <c r="G38" s="137"/>
      <c r="H38" s="427"/>
    </row>
    <row r="39" spans="1:8" s="52" customFormat="1" ht="20.100000000000001" customHeight="1">
      <c r="A39" s="427"/>
      <c r="B39" s="238"/>
      <c r="C39" s="165"/>
      <c r="D39" s="451"/>
      <c r="E39" s="165" t="s">
        <v>1729</v>
      </c>
      <c r="F39" s="166">
        <v>7699653.1699999999</v>
      </c>
      <c r="G39" s="137"/>
      <c r="H39" s="427"/>
    </row>
    <row r="40" spans="1:8" s="52" customFormat="1" ht="20.100000000000001" customHeight="1">
      <c r="A40" s="427"/>
      <c r="B40" s="238"/>
      <c r="C40" s="165"/>
      <c r="D40" s="451"/>
      <c r="E40" s="165" t="s">
        <v>1730</v>
      </c>
      <c r="F40" s="166">
        <v>6927595.5499999998</v>
      </c>
      <c r="G40" s="137"/>
      <c r="H40" s="427"/>
    </row>
    <row r="41" spans="1:8" s="52" customFormat="1" ht="20.100000000000001" customHeight="1">
      <c r="A41" s="427"/>
      <c r="B41" s="238"/>
      <c r="C41" s="165"/>
      <c r="D41" s="451"/>
      <c r="E41" s="165"/>
      <c r="F41" s="166"/>
      <c r="G41" s="137">
        <f>SUM(F8:F40)</f>
        <v>2605080303.7199998</v>
      </c>
      <c r="H41" s="427"/>
    </row>
    <row r="42" spans="1:8" s="52" customFormat="1" ht="20.100000000000001" customHeight="1">
      <c r="A42" s="427"/>
      <c r="B42" s="238"/>
      <c r="C42" s="165"/>
      <c r="D42" s="451" t="s">
        <v>715</v>
      </c>
      <c r="E42" s="165" t="s">
        <v>1732</v>
      </c>
      <c r="F42" s="166">
        <v>59600000</v>
      </c>
      <c r="G42" s="137"/>
      <c r="H42" s="427"/>
    </row>
    <row r="43" spans="1:8" s="52" customFormat="1" ht="20.100000000000001" customHeight="1">
      <c r="A43" s="427"/>
      <c r="B43" s="238"/>
      <c r="C43" s="165"/>
      <c r="D43" s="451"/>
      <c r="E43" s="144" t="s">
        <v>1367</v>
      </c>
      <c r="F43" s="137">
        <v>50000000</v>
      </c>
      <c r="G43" s="137"/>
      <c r="H43" s="427"/>
    </row>
    <row r="44" spans="1:8" s="52" customFormat="1" ht="20.100000000000001" customHeight="1">
      <c r="A44" s="427"/>
      <c r="B44" s="238"/>
      <c r="C44" s="165"/>
      <c r="D44" s="451"/>
      <c r="E44" s="144" t="s">
        <v>1368</v>
      </c>
      <c r="F44" s="137">
        <v>50000000</v>
      </c>
      <c r="G44" s="137"/>
      <c r="H44" s="427"/>
    </row>
    <row r="45" spans="1:8" s="52" customFormat="1" ht="20.100000000000001" customHeight="1">
      <c r="A45" s="427"/>
      <c r="B45" s="238"/>
      <c r="C45" s="165"/>
      <c r="D45" s="451"/>
      <c r="E45" s="144" t="s">
        <v>1369</v>
      </c>
      <c r="F45" s="137">
        <v>174686163.75</v>
      </c>
      <c r="G45" s="137"/>
      <c r="H45" s="427"/>
    </row>
    <row r="46" spans="1:8" s="52" customFormat="1" ht="20.100000000000001" customHeight="1">
      <c r="A46" s="427"/>
      <c r="B46" s="238"/>
      <c r="C46" s="165"/>
      <c r="D46" s="451"/>
      <c r="E46" s="144" t="s">
        <v>1370</v>
      </c>
      <c r="F46" s="137">
        <v>249896538.80000001</v>
      </c>
      <c r="G46" s="137"/>
      <c r="H46" s="427"/>
    </row>
    <row r="47" spans="1:8" s="52" customFormat="1" ht="20.100000000000001" customHeight="1">
      <c r="A47" s="427"/>
      <c r="B47" s="238"/>
      <c r="C47" s="165"/>
      <c r="D47" s="451"/>
      <c r="E47" s="144" t="s">
        <v>1371</v>
      </c>
      <c r="F47" s="137">
        <v>261364870.90000001</v>
      </c>
      <c r="G47" s="137"/>
      <c r="H47" s="427"/>
    </row>
    <row r="48" spans="1:8" s="52" customFormat="1" ht="20.100000000000001" customHeight="1">
      <c r="A48" s="427"/>
      <c r="B48" s="238"/>
      <c r="C48" s="165"/>
      <c r="D48" s="451"/>
      <c r="E48" s="144" t="s">
        <v>1372</v>
      </c>
      <c r="F48" s="137">
        <v>198925259.84999999</v>
      </c>
      <c r="G48" s="137"/>
      <c r="H48" s="427"/>
    </row>
    <row r="49" spans="1:8" s="52" customFormat="1" ht="20.100000000000001" customHeight="1">
      <c r="A49" s="427"/>
      <c r="B49" s="238"/>
      <c r="C49" s="165"/>
      <c r="D49" s="451"/>
      <c r="E49" s="144" t="s">
        <v>1373</v>
      </c>
      <c r="F49" s="137">
        <v>625237734.38</v>
      </c>
      <c r="G49" s="137"/>
      <c r="H49" s="427"/>
    </row>
    <row r="50" spans="1:8" s="52" customFormat="1" ht="20.100000000000001" customHeight="1">
      <c r="A50" s="427"/>
      <c r="B50" s="238"/>
      <c r="C50" s="165"/>
      <c r="D50" s="451"/>
      <c r="E50" s="144" t="s">
        <v>1374</v>
      </c>
      <c r="F50" s="137">
        <v>19712749.059999999</v>
      </c>
      <c r="G50" s="137"/>
      <c r="H50" s="427"/>
    </row>
    <row r="51" spans="1:8" s="52" customFormat="1" ht="20.100000000000001" customHeight="1">
      <c r="A51" s="427"/>
      <c r="B51" s="238"/>
      <c r="C51" s="165"/>
      <c r="D51" s="451"/>
      <c r="E51" s="144" t="s">
        <v>1375</v>
      </c>
      <c r="F51" s="137">
        <v>16267597.220000001</v>
      </c>
      <c r="G51" s="137"/>
      <c r="H51" s="427"/>
    </row>
    <row r="52" spans="1:8" s="52" customFormat="1" ht="20.100000000000001" customHeight="1">
      <c r="A52" s="427"/>
      <c r="B52" s="238"/>
      <c r="C52" s="165"/>
      <c r="D52" s="451"/>
      <c r="E52" s="144" t="s">
        <v>1376</v>
      </c>
      <c r="F52" s="137">
        <v>27717746.739999998</v>
      </c>
      <c r="G52" s="137"/>
      <c r="H52" s="427"/>
    </row>
    <row r="53" spans="1:8" s="52" customFormat="1" ht="20.100000000000001" customHeight="1">
      <c r="A53" s="427"/>
      <c r="B53" s="238"/>
      <c r="C53" s="165"/>
      <c r="D53" s="451"/>
      <c r="E53" s="144" t="s">
        <v>1377</v>
      </c>
      <c r="F53" s="137">
        <v>98303144.620000005</v>
      </c>
      <c r="G53" s="137"/>
      <c r="H53" s="427"/>
    </row>
    <row r="54" spans="1:8" s="52" customFormat="1" ht="20.100000000000001" customHeight="1">
      <c r="A54" s="427"/>
      <c r="B54" s="238"/>
      <c r="C54" s="165"/>
      <c r="D54" s="451"/>
      <c r="E54" s="144" t="s">
        <v>1378</v>
      </c>
      <c r="F54" s="137">
        <v>95096137.5</v>
      </c>
      <c r="G54" s="137"/>
      <c r="H54" s="427"/>
    </row>
    <row r="55" spans="1:8" s="52" customFormat="1" ht="20.100000000000001" customHeight="1">
      <c r="A55" s="427"/>
      <c r="B55" s="238"/>
      <c r="C55" s="165"/>
      <c r="D55" s="451"/>
      <c r="E55" s="144" t="s">
        <v>1379</v>
      </c>
      <c r="F55" s="137">
        <v>531671580.51999998</v>
      </c>
      <c r="G55" s="137"/>
      <c r="H55" s="427"/>
    </row>
    <row r="56" spans="1:8" s="52" customFormat="1" ht="20.100000000000001" customHeight="1">
      <c r="A56" s="427"/>
      <c r="B56" s="238"/>
      <c r="C56" s="165"/>
      <c r="D56" s="451"/>
      <c r="E56" s="144" t="s">
        <v>1380</v>
      </c>
      <c r="F56" s="137">
        <v>20123083.329999998</v>
      </c>
      <c r="G56" s="137"/>
      <c r="H56" s="427"/>
    </row>
    <row r="57" spans="1:8" s="52" customFormat="1" ht="20.100000000000001" customHeight="1">
      <c r="A57" s="427"/>
      <c r="B57" s="238"/>
      <c r="C57" s="165"/>
      <c r="D57" s="451"/>
      <c r="E57" s="144" t="s">
        <v>1381</v>
      </c>
      <c r="F57" s="137">
        <v>65715155.979999997</v>
      </c>
      <c r="G57" s="137"/>
      <c r="H57" s="427"/>
    </row>
    <row r="58" spans="1:8" s="52" customFormat="1" ht="20.100000000000001" customHeight="1">
      <c r="A58" s="427"/>
      <c r="B58" s="238"/>
      <c r="C58" s="165"/>
      <c r="D58" s="451"/>
      <c r="E58" s="144" t="s">
        <v>1382</v>
      </c>
      <c r="F58" s="137">
        <v>70659814.840000004</v>
      </c>
      <c r="G58" s="137"/>
      <c r="H58" s="427"/>
    </row>
    <row r="59" spans="1:8" s="52" customFormat="1" ht="20.100000000000001" customHeight="1">
      <c r="A59" s="427"/>
      <c r="B59" s="238"/>
      <c r="C59" s="165"/>
      <c r="D59" s="451"/>
      <c r="E59" s="144" t="s">
        <v>1383</v>
      </c>
      <c r="F59" s="137">
        <v>22305820.760000002</v>
      </c>
      <c r="G59" s="137"/>
      <c r="H59" s="427"/>
    </row>
    <row r="60" spans="1:8" s="52" customFormat="1" ht="20.100000000000001" customHeight="1">
      <c r="A60" s="427"/>
      <c r="B60" s="238"/>
      <c r="C60" s="165"/>
      <c r="D60" s="451"/>
      <c r="E60" s="144" t="s">
        <v>1384</v>
      </c>
      <c r="F60" s="137">
        <v>50000000</v>
      </c>
      <c r="G60" s="137"/>
      <c r="H60" s="427"/>
    </row>
    <row r="61" spans="1:8" s="52" customFormat="1" ht="20.100000000000001" customHeight="1">
      <c r="A61" s="427"/>
      <c r="B61" s="238"/>
      <c r="C61" s="165"/>
      <c r="D61" s="451"/>
      <c r="E61" s="144" t="s">
        <v>1385</v>
      </c>
      <c r="F61" s="137">
        <v>49071864.899999999</v>
      </c>
      <c r="G61" s="137"/>
      <c r="H61" s="427"/>
    </row>
    <row r="62" spans="1:8" s="52" customFormat="1" ht="20.100000000000001" customHeight="1">
      <c r="A62" s="427"/>
      <c r="B62" s="238"/>
      <c r="C62" s="165"/>
      <c r="D62" s="451"/>
      <c r="E62" s="144" t="s">
        <v>1368</v>
      </c>
      <c r="F62" s="137">
        <v>50000000</v>
      </c>
      <c r="G62" s="137"/>
      <c r="H62" s="427"/>
    </row>
    <row r="63" spans="1:8" s="52" customFormat="1" ht="20.100000000000001" customHeight="1">
      <c r="A63" s="427"/>
      <c r="B63" s="238"/>
      <c r="C63" s="165"/>
      <c r="D63" s="451"/>
      <c r="E63" s="144" t="s">
        <v>1386</v>
      </c>
      <c r="F63" s="137">
        <v>58423629.380000003</v>
      </c>
      <c r="G63" s="137"/>
      <c r="H63" s="427"/>
    </row>
    <row r="64" spans="1:8" s="52" customFormat="1" ht="20.100000000000001" customHeight="1">
      <c r="A64" s="427"/>
      <c r="B64" s="238"/>
      <c r="C64" s="165"/>
      <c r="D64" s="451"/>
      <c r="E64" s="144" t="s">
        <v>1387</v>
      </c>
      <c r="F64" s="137">
        <v>24624095.68</v>
      </c>
      <c r="G64" s="137"/>
      <c r="H64" s="427"/>
    </row>
    <row r="65" spans="1:8" s="52" customFormat="1" ht="20.100000000000001" customHeight="1">
      <c r="A65" s="427"/>
      <c r="B65" s="238"/>
      <c r="C65" s="165"/>
      <c r="D65" s="451"/>
      <c r="E65" s="144" t="s">
        <v>1388</v>
      </c>
      <c r="F65" s="137">
        <v>5536780.1799999997</v>
      </c>
      <c r="G65" s="137"/>
      <c r="H65" s="427"/>
    </row>
    <row r="66" spans="1:8" s="52" customFormat="1" ht="20.100000000000001" customHeight="1">
      <c r="A66" s="427"/>
      <c r="B66" s="238"/>
      <c r="C66" s="165"/>
      <c r="D66" s="451"/>
      <c r="E66" s="144" t="s">
        <v>1380</v>
      </c>
      <c r="F66" s="137">
        <v>7139597.8499999996</v>
      </c>
      <c r="G66" s="137"/>
      <c r="H66" s="427"/>
    </row>
    <row r="67" spans="1:8" s="52" customFormat="1" ht="20.100000000000001" customHeight="1">
      <c r="A67" s="427"/>
      <c r="B67" s="238"/>
      <c r="C67" s="165"/>
      <c r="D67" s="451"/>
      <c r="E67" s="144" t="s">
        <v>1389</v>
      </c>
      <c r="F67" s="137">
        <v>33967272.549999997</v>
      </c>
      <c r="G67" s="137"/>
      <c r="H67" s="427"/>
    </row>
    <row r="68" spans="1:8" s="52" customFormat="1" ht="20.100000000000001" customHeight="1">
      <c r="A68" s="427"/>
      <c r="B68" s="238"/>
      <c r="C68" s="165"/>
      <c r="D68" s="451"/>
      <c r="E68" s="144" t="s">
        <v>1390</v>
      </c>
      <c r="F68" s="137">
        <v>69610236.180000007</v>
      </c>
      <c r="G68" s="137"/>
      <c r="H68" s="427"/>
    </row>
    <row r="69" spans="1:8" s="52" customFormat="1" ht="20.100000000000001" customHeight="1">
      <c r="A69" s="427"/>
      <c r="B69" s="238"/>
      <c r="C69" s="165"/>
      <c r="D69" s="451"/>
      <c r="E69" s="144" t="s">
        <v>1377</v>
      </c>
      <c r="F69" s="137">
        <v>41068232.850000001</v>
      </c>
      <c r="G69" s="137"/>
      <c r="H69" s="427"/>
    </row>
    <row r="70" spans="1:8" s="52" customFormat="1" ht="20.100000000000001" customHeight="1">
      <c r="A70" s="427"/>
      <c r="B70" s="238"/>
      <c r="C70" s="165"/>
      <c r="D70" s="451"/>
      <c r="E70" s="144" t="s">
        <v>1391</v>
      </c>
      <c r="F70" s="137">
        <v>97903521.629999995</v>
      </c>
      <c r="G70" s="137"/>
      <c r="H70" s="427"/>
    </row>
    <row r="71" spans="1:8" s="52" customFormat="1" ht="20.100000000000001" customHeight="1">
      <c r="A71" s="427"/>
      <c r="B71" s="238"/>
      <c r="C71" s="165"/>
      <c r="D71" s="451"/>
      <c r="E71" s="144" t="s">
        <v>1392</v>
      </c>
      <c r="F71" s="137">
        <v>16960623.68</v>
      </c>
      <c r="G71" s="137"/>
      <c r="H71" s="427"/>
    </row>
    <row r="72" spans="1:8" s="52" customFormat="1" ht="20.100000000000001" customHeight="1">
      <c r="A72" s="427"/>
      <c r="B72" s="238"/>
      <c r="C72" s="165"/>
      <c r="D72" s="451"/>
      <c r="E72" s="144" t="s">
        <v>1393</v>
      </c>
      <c r="F72" s="137">
        <v>50000000</v>
      </c>
      <c r="G72" s="137"/>
      <c r="H72" s="427"/>
    </row>
    <row r="73" spans="1:8" s="52" customFormat="1" ht="20.100000000000001" customHeight="1">
      <c r="A73" s="427"/>
      <c r="B73" s="238"/>
      <c r="C73" s="165"/>
      <c r="D73" s="451"/>
      <c r="E73" s="144" t="s">
        <v>1394</v>
      </c>
      <c r="F73" s="137">
        <v>58972368.82</v>
      </c>
      <c r="G73" s="137"/>
      <c r="H73" s="427"/>
    </row>
    <row r="74" spans="1:8" s="52" customFormat="1" ht="20.100000000000001" customHeight="1">
      <c r="A74" s="427"/>
      <c r="B74" s="238"/>
      <c r="C74" s="165"/>
      <c r="D74" s="451"/>
      <c r="E74" s="144" t="s">
        <v>1395</v>
      </c>
      <c r="F74" s="137">
        <v>13487617.08</v>
      </c>
      <c r="G74" s="137"/>
      <c r="H74" s="427"/>
    </row>
    <row r="75" spans="1:8" s="52" customFormat="1" ht="20.100000000000001" customHeight="1">
      <c r="A75" s="427"/>
      <c r="B75" s="238"/>
      <c r="C75" s="165"/>
      <c r="D75" s="451"/>
      <c r="E75" s="144" t="s">
        <v>1396</v>
      </c>
      <c r="F75" s="137">
        <v>88832184.019999996</v>
      </c>
      <c r="G75" s="137"/>
      <c r="H75" s="427"/>
    </row>
    <row r="76" spans="1:8" s="52" customFormat="1" ht="20.100000000000001" customHeight="1">
      <c r="A76" s="427"/>
      <c r="B76" s="238"/>
      <c r="C76" s="165"/>
      <c r="D76" s="451"/>
      <c r="E76" s="144" t="s">
        <v>1397</v>
      </c>
      <c r="F76" s="137">
        <v>300000000</v>
      </c>
      <c r="G76" s="137"/>
      <c r="H76" s="427"/>
    </row>
    <row r="77" spans="1:8" s="52" customFormat="1" ht="20.100000000000001" customHeight="1">
      <c r="A77" s="427"/>
      <c r="B77" s="238"/>
      <c r="C77" s="165"/>
      <c r="D77" s="451"/>
      <c r="E77" s="144" t="s">
        <v>1905</v>
      </c>
      <c r="F77" s="137">
        <v>5551582.1299999999</v>
      </c>
      <c r="G77" s="137"/>
      <c r="H77" s="427"/>
    </row>
    <row r="78" spans="1:8" s="52" customFormat="1" ht="20.100000000000001" customHeight="1">
      <c r="A78" s="427"/>
      <c r="B78" s="238"/>
      <c r="C78" s="165"/>
      <c r="D78" s="451"/>
      <c r="E78" s="144" t="s">
        <v>1398</v>
      </c>
      <c r="F78" s="137">
        <v>236442080.69999999</v>
      </c>
      <c r="G78" s="137"/>
      <c r="H78" s="427"/>
    </row>
    <row r="79" spans="1:8" s="52" customFormat="1" ht="20.100000000000001" customHeight="1">
      <c r="A79" s="427"/>
      <c r="B79" s="238"/>
      <c r="C79" s="165"/>
      <c r="D79" s="451"/>
      <c r="E79" s="144" t="s">
        <v>1399</v>
      </c>
      <c r="F79" s="137">
        <v>58000000</v>
      </c>
      <c r="G79" s="137"/>
      <c r="H79" s="427"/>
    </row>
    <row r="80" spans="1:8" s="52" customFormat="1" ht="20.100000000000001" customHeight="1">
      <c r="A80" s="427"/>
      <c r="B80" s="238"/>
      <c r="C80" s="165"/>
      <c r="D80" s="451"/>
      <c r="E80" s="144" t="s">
        <v>1369</v>
      </c>
      <c r="F80" s="137">
        <v>90591155.290000007</v>
      </c>
      <c r="G80" s="137"/>
      <c r="H80" s="427"/>
    </row>
    <row r="81" spans="1:8" s="52" customFormat="1" ht="20.100000000000001" customHeight="1">
      <c r="A81" s="427"/>
      <c r="B81" s="238"/>
      <c r="C81" s="165"/>
      <c r="D81" s="451"/>
      <c r="E81" s="144" t="s">
        <v>1400</v>
      </c>
      <c r="F81" s="137">
        <v>48483750</v>
      </c>
      <c r="G81" s="137"/>
      <c r="H81" s="427"/>
    </row>
    <row r="82" spans="1:8" s="52" customFormat="1" ht="20.100000000000001" customHeight="1">
      <c r="A82" s="427"/>
      <c r="B82" s="238"/>
      <c r="C82" s="165"/>
      <c r="D82" s="451"/>
      <c r="E82" s="144" t="s">
        <v>1401</v>
      </c>
      <c r="F82" s="137">
        <v>171522734.91</v>
      </c>
      <c r="G82" s="137"/>
      <c r="H82" s="427"/>
    </row>
    <row r="83" spans="1:8" s="52" customFormat="1" ht="20.100000000000001" customHeight="1">
      <c r="A83" s="427"/>
      <c r="B83" s="238"/>
      <c r="C83" s="165"/>
      <c r="D83" s="451"/>
      <c r="E83" s="144" t="s">
        <v>1371</v>
      </c>
      <c r="F83" s="137">
        <v>620106165.15999997</v>
      </c>
      <c r="G83" s="137"/>
      <c r="H83" s="427"/>
    </row>
    <row r="84" spans="1:8" s="52" customFormat="1" ht="20.100000000000001" customHeight="1">
      <c r="A84" s="427"/>
      <c r="B84" s="238"/>
      <c r="C84" s="165"/>
      <c r="D84" s="451"/>
      <c r="E84" s="144" t="s">
        <v>1402</v>
      </c>
      <c r="F84" s="137">
        <v>50000000</v>
      </c>
      <c r="G84" s="137"/>
      <c r="H84" s="427"/>
    </row>
    <row r="85" spans="1:8" s="52" customFormat="1" ht="20.100000000000001" customHeight="1">
      <c r="A85" s="427"/>
      <c r="B85" s="238"/>
      <c r="C85" s="165"/>
      <c r="D85" s="451"/>
      <c r="E85" s="144" t="s">
        <v>1403</v>
      </c>
      <c r="F85" s="137">
        <v>51689405.969999999</v>
      </c>
      <c r="G85" s="137"/>
      <c r="H85" s="427"/>
    </row>
    <row r="86" spans="1:8" s="52" customFormat="1" ht="20.100000000000001" customHeight="1">
      <c r="A86" s="427"/>
      <c r="B86" s="238"/>
      <c r="C86" s="165"/>
      <c r="D86" s="451"/>
      <c r="E86" s="144" t="s">
        <v>1404</v>
      </c>
      <c r="F86" s="137">
        <v>59252197.049999997</v>
      </c>
      <c r="G86" s="137"/>
      <c r="H86" s="427"/>
    </row>
    <row r="87" spans="1:8" s="52" customFormat="1" ht="20.100000000000001" customHeight="1">
      <c r="A87" s="427"/>
      <c r="B87" s="238"/>
      <c r="C87" s="165"/>
      <c r="D87" s="451"/>
      <c r="E87" s="144" t="s">
        <v>1404</v>
      </c>
      <c r="F87" s="137">
        <v>288542</v>
      </c>
      <c r="G87" s="137"/>
      <c r="H87" s="427"/>
    </row>
    <row r="88" spans="1:8" s="52" customFormat="1" ht="20.100000000000001" customHeight="1">
      <c r="A88" s="427"/>
      <c r="B88" s="238"/>
      <c r="C88" s="165"/>
      <c r="D88" s="451"/>
      <c r="E88" s="144" t="s">
        <v>1405</v>
      </c>
      <c r="F88" s="137">
        <v>1677633.1</v>
      </c>
      <c r="G88" s="137"/>
      <c r="H88" s="427"/>
    </row>
    <row r="89" spans="1:8" s="52" customFormat="1" ht="20.100000000000001" customHeight="1">
      <c r="A89" s="427"/>
      <c r="B89" s="238"/>
      <c r="C89" s="165"/>
      <c r="D89" s="451"/>
      <c r="E89" s="165" t="s">
        <v>1733</v>
      </c>
      <c r="F89" s="166">
        <v>114298047.44</v>
      </c>
      <c r="G89" s="137"/>
      <c r="H89" s="427"/>
    </row>
    <row r="90" spans="1:8" s="52" customFormat="1" ht="20.100000000000001" customHeight="1">
      <c r="A90" s="427"/>
      <c r="B90" s="238"/>
      <c r="C90" s="165"/>
      <c r="D90" s="451"/>
      <c r="E90" s="165" t="s">
        <v>1734</v>
      </c>
      <c r="F90" s="166">
        <v>20749706.25</v>
      </c>
      <c r="G90" s="137"/>
      <c r="H90" s="427"/>
    </row>
    <row r="91" spans="1:8" s="52" customFormat="1" ht="20.100000000000001" customHeight="1">
      <c r="A91" s="427"/>
      <c r="B91" s="238"/>
      <c r="C91" s="165"/>
      <c r="D91" s="451"/>
      <c r="E91" s="165" t="s">
        <v>1735</v>
      </c>
      <c r="F91" s="166">
        <v>150000000</v>
      </c>
      <c r="G91" s="140"/>
      <c r="H91" s="427"/>
    </row>
    <row r="92" spans="1:8" s="52" customFormat="1" ht="20.100000000000001" customHeight="1">
      <c r="A92" s="427"/>
      <c r="B92" s="238">
        <v>2</v>
      </c>
      <c r="C92" s="165"/>
      <c r="D92" s="451"/>
      <c r="E92" s="165" t="s">
        <v>1736</v>
      </c>
      <c r="F92" s="166">
        <v>81137649.739999995</v>
      </c>
      <c r="G92" s="137"/>
      <c r="H92" s="427"/>
    </row>
    <row r="93" spans="1:8" s="52" customFormat="1" ht="20.100000000000001" customHeight="1">
      <c r="A93" s="427"/>
      <c r="B93" s="238"/>
      <c r="C93" s="165"/>
      <c r="D93" s="451"/>
      <c r="E93" s="165" t="s">
        <v>1544</v>
      </c>
      <c r="F93" s="166">
        <v>64797885.340000004</v>
      </c>
      <c r="G93" s="137"/>
      <c r="H93" s="427"/>
    </row>
    <row r="94" spans="1:8" s="52" customFormat="1" ht="20.100000000000001" customHeight="1">
      <c r="A94" s="427"/>
      <c r="B94" s="238"/>
      <c r="C94" s="165"/>
      <c r="D94" s="451"/>
      <c r="E94" s="165" t="s">
        <v>1545</v>
      </c>
      <c r="F94" s="166">
        <v>60209895.57</v>
      </c>
      <c r="G94" s="140"/>
      <c r="H94" s="427"/>
    </row>
    <row r="95" spans="1:8" s="52" customFormat="1" ht="20.100000000000001" customHeight="1">
      <c r="A95" s="427"/>
      <c r="B95" s="238"/>
      <c r="C95" s="165"/>
      <c r="D95" s="451"/>
      <c r="E95" s="165" t="s">
        <v>1737</v>
      </c>
      <c r="F95" s="166">
        <v>10423717.5</v>
      </c>
      <c r="G95" s="137"/>
      <c r="H95" s="427"/>
    </row>
    <row r="96" spans="1:8" s="52" customFormat="1" ht="20.100000000000001" customHeight="1">
      <c r="A96" s="427"/>
      <c r="B96" s="238"/>
      <c r="C96" s="165"/>
      <c r="D96" s="451"/>
      <c r="E96" s="165" t="s">
        <v>1738</v>
      </c>
      <c r="F96" s="166">
        <v>5758399.5</v>
      </c>
      <c r="G96" s="137"/>
      <c r="H96" s="427"/>
    </row>
    <row r="97" spans="1:8" s="52" customFormat="1" ht="20.100000000000001" customHeight="1">
      <c r="A97" s="427"/>
      <c r="B97" s="238"/>
      <c r="C97" s="165"/>
      <c r="D97" s="451"/>
      <c r="E97" s="165" t="s">
        <v>1739</v>
      </c>
      <c r="F97" s="166">
        <v>1800000</v>
      </c>
      <c r="G97" s="140"/>
      <c r="H97" s="427"/>
    </row>
    <row r="98" spans="1:8" s="52" customFormat="1" ht="20.100000000000001" customHeight="1">
      <c r="A98" s="427"/>
      <c r="B98" s="238"/>
      <c r="C98" s="165"/>
      <c r="D98" s="451"/>
      <c r="E98" s="165" t="s">
        <v>1740</v>
      </c>
      <c r="F98" s="166">
        <v>50240500</v>
      </c>
      <c r="G98" s="137"/>
      <c r="H98" s="427"/>
    </row>
    <row r="99" spans="1:8" s="52" customFormat="1" ht="20.100000000000001" customHeight="1">
      <c r="A99" s="427"/>
      <c r="B99" s="238"/>
      <c r="C99" s="165"/>
      <c r="D99" s="451"/>
      <c r="E99" s="165" t="s">
        <v>1741</v>
      </c>
      <c r="F99" s="166">
        <v>72269050.040000007</v>
      </c>
      <c r="G99" s="137"/>
      <c r="H99" s="427"/>
    </row>
    <row r="100" spans="1:8" s="52" customFormat="1" ht="20.100000000000001" customHeight="1">
      <c r="A100" s="427"/>
      <c r="B100" s="238"/>
      <c r="C100" s="165"/>
      <c r="D100" s="451"/>
      <c r="E100" s="165" t="s">
        <v>1742</v>
      </c>
      <c r="F100" s="166">
        <v>56852475.75</v>
      </c>
      <c r="G100" s="137"/>
      <c r="H100" s="427"/>
    </row>
    <row r="101" spans="1:8" s="52" customFormat="1" ht="20.100000000000001" customHeight="1">
      <c r="A101" s="427"/>
      <c r="B101" s="238"/>
      <c r="C101" s="165"/>
      <c r="D101" s="451"/>
      <c r="E101" s="165" t="s">
        <v>1743</v>
      </c>
      <c r="F101" s="166">
        <v>500000000</v>
      </c>
      <c r="G101" s="137"/>
      <c r="H101" s="427"/>
    </row>
    <row r="102" spans="1:8" s="52" customFormat="1" ht="20.100000000000001" customHeight="1">
      <c r="A102" s="427"/>
      <c r="B102" s="238"/>
      <c r="C102" s="165"/>
      <c r="D102" s="451"/>
      <c r="E102" s="165" t="s">
        <v>1744</v>
      </c>
      <c r="F102" s="166">
        <v>50000000</v>
      </c>
      <c r="G102" s="137"/>
      <c r="H102" s="427"/>
    </row>
    <row r="103" spans="1:8" s="52" customFormat="1" ht="20.100000000000001" customHeight="1">
      <c r="A103" s="427"/>
      <c r="B103" s="238"/>
      <c r="C103" s="165"/>
      <c r="D103" s="451"/>
      <c r="E103" s="165" t="s">
        <v>1546</v>
      </c>
      <c r="F103" s="166">
        <v>8050289.0999999996</v>
      </c>
      <c r="G103" s="137"/>
      <c r="H103" s="427"/>
    </row>
    <row r="104" spans="1:8" s="52" customFormat="1" ht="20.100000000000001" customHeight="1">
      <c r="A104" s="427"/>
      <c r="B104" s="238"/>
      <c r="C104" s="165"/>
      <c r="D104" s="451"/>
      <c r="E104" s="165" t="s">
        <v>1547</v>
      </c>
      <c r="F104" s="166">
        <v>69601140</v>
      </c>
      <c r="G104" s="137"/>
      <c r="H104" s="427"/>
    </row>
    <row r="105" spans="1:8" s="52" customFormat="1" ht="20.100000000000001" customHeight="1">
      <c r="A105" s="427"/>
      <c r="B105" s="238"/>
      <c r="C105" s="165"/>
      <c r="D105" s="451"/>
      <c r="E105" s="165" t="s">
        <v>1745</v>
      </c>
      <c r="F105" s="166">
        <v>50000000</v>
      </c>
      <c r="G105" s="137"/>
      <c r="H105" s="427"/>
    </row>
    <row r="106" spans="1:8" s="52" customFormat="1" ht="20.100000000000001" customHeight="1">
      <c r="A106" s="427"/>
      <c r="B106" s="238"/>
      <c r="C106" s="165"/>
      <c r="D106" s="451"/>
      <c r="E106" s="165" t="s">
        <v>1746</v>
      </c>
      <c r="F106" s="166">
        <v>72500000</v>
      </c>
      <c r="G106" s="140"/>
      <c r="H106" s="427"/>
    </row>
    <row r="107" spans="1:8" s="52" customFormat="1" ht="20.100000000000001" customHeight="1">
      <c r="A107" s="427"/>
      <c r="B107" s="238"/>
      <c r="C107" s="165"/>
      <c r="D107" s="451"/>
      <c r="E107" s="165" t="s">
        <v>1747</v>
      </c>
      <c r="F107" s="166">
        <v>13420935</v>
      </c>
      <c r="G107" s="137"/>
      <c r="H107" s="427"/>
    </row>
    <row r="108" spans="1:8" s="52" customFormat="1" ht="20.100000000000001" customHeight="1">
      <c r="A108" s="427"/>
      <c r="B108" s="238"/>
      <c r="C108" s="165"/>
      <c r="D108" s="451"/>
      <c r="E108" s="165" t="s">
        <v>1748</v>
      </c>
      <c r="F108" s="166">
        <v>1360275</v>
      </c>
      <c r="G108" s="137"/>
      <c r="H108" s="427"/>
    </row>
    <row r="109" spans="1:8" s="52" customFormat="1" ht="20.100000000000001" customHeight="1">
      <c r="A109" s="427"/>
      <c r="B109" s="238"/>
      <c r="C109" s="165"/>
      <c r="D109" s="451"/>
      <c r="E109" s="165" t="s">
        <v>1749</v>
      </c>
      <c r="F109" s="166">
        <v>14599546.5</v>
      </c>
      <c r="G109" s="140"/>
      <c r="H109" s="427"/>
    </row>
    <row r="110" spans="1:8" s="52" customFormat="1" ht="20.100000000000001" customHeight="1">
      <c r="A110" s="427"/>
      <c r="B110" s="238"/>
      <c r="C110" s="165"/>
      <c r="D110" s="451"/>
      <c r="E110" s="165" t="s">
        <v>1750</v>
      </c>
      <c r="F110" s="166">
        <v>12223106</v>
      </c>
      <c r="G110" s="137"/>
      <c r="H110" s="427"/>
    </row>
    <row r="111" spans="1:8" s="52" customFormat="1" ht="20.100000000000001" customHeight="1">
      <c r="A111" s="427"/>
      <c r="B111" s="238"/>
      <c r="C111" s="165"/>
      <c r="D111" s="451"/>
      <c r="E111" s="165" t="s">
        <v>1548</v>
      </c>
      <c r="F111" s="166">
        <v>86015920.200000003</v>
      </c>
      <c r="G111" s="137"/>
      <c r="H111" s="427"/>
    </row>
    <row r="112" spans="1:8" s="52" customFormat="1" ht="20.100000000000001" customHeight="1">
      <c r="A112" s="427"/>
      <c r="B112" s="238"/>
      <c r="C112" s="165"/>
      <c r="D112" s="451"/>
      <c r="E112" s="165" t="s">
        <v>1751</v>
      </c>
      <c r="F112" s="166">
        <v>18369235.5</v>
      </c>
      <c r="G112" s="137"/>
      <c r="H112" s="427"/>
    </row>
    <row r="113" spans="1:8" s="52" customFormat="1" ht="20.100000000000001" customHeight="1">
      <c r="A113" s="427"/>
      <c r="B113" s="238"/>
      <c r="C113" s="165"/>
      <c r="D113" s="451"/>
      <c r="E113" s="165" t="s">
        <v>1752</v>
      </c>
      <c r="F113" s="166">
        <v>7247756.25</v>
      </c>
      <c r="G113" s="137"/>
      <c r="H113" s="427"/>
    </row>
    <row r="114" spans="1:8" s="52" customFormat="1" ht="20.100000000000001" customHeight="1">
      <c r="A114" s="427"/>
      <c r="B114" s="238"/>
      <c r="C114" s="165"/>
      <c r="D114" s="451"/>
      <c r="E114" s="165" t="s">
        <v>1753</v>
      </c>
      <c r="F114" s="166">
        <v>5326962.2</v>
      </c>
      <c r="G114" s="137"/>
      <c r="H114" s="427"/>
    </row>
    <row r="115" spans="1:8" s="52" customFormat="1" ht="20.100000000000001" customHeight="1">
      <c r="A115" s="427"/>
      <c r="B115" s="238"/>
      <c r="C115" s="165"/>
      <c r="D115" s="451"/>
      <c r="E115" s="165" t="s">
        <v>1754</v>
      </c>
      <c r="F115" s="166">
        <v>8402000</v>
      </c>
      <c r="G115" s="137"/>
      <c r="H115" s="427"/>
    </row>
    <row r="116" spans="1:8" s="52" customFormat="1" ht="20.100000000000001" customHeight="1">
      <c r="A116" s="427"/>
      <c r="B116" s="238"/>
      <c r="C116" s="165"/>
      <c r="D116" s="451"/>
      <c r="E116" s="165" t="s">
        <v>1755</v>
      </c>
      <c r="F116" s="166">
        <v>9735995.5</v>
      </c>
      <c r="G116" s="137"/>
      <c r="H116" s="427"/>
    </row>
    <row r="117" spans="1:8" s="52" customFormat="1" ht="20.100000000000001" customHeight="1">
      <c r="A117" s="427"/>
      <c r="B117" s="238"/>
      <c r="C117" s="165"/>
      <c r="D117" s="451"/>
      <c r="E117" s="165" t="s">
        <v>1756</v>
      </c>
      <c r="F117" s="166">
        <v>56234540</v>
      </c>
      <c r="G117" s="137"/>
      <c r="H117" s="427"/>
    </row>
    <row r="118" spans="1:8" s="52" customFormat="1" ht="20.100000000000001" customHeight="1">
      <c r="A118" s="427"/>
      <c r="B118" s="238"/>
      <c r="C118" s="165"/>
      <c r="D118" s="451"/>
      <c r="E118" s="165" t="s">
        <v>1743</v>
      </c>
      <c r="F118" s="166">
        <v>600000000</v>
      </c>
      <c r="G118" s="137"/>
      <c r="H118" s="427"/>
    </row>
    <row r="119" spans="1:8" s="52" customFormat="1" ht="20.100000000000001" customHeight="1">
      <c r="A119" s="427"/>
      <c r="B119" s="238"/>
      <c r="C119" s="165"/>
      <c r="D119" s="451"/>
      <c r="E119" s="165" t="s">
        <v>1757</v>
      </c>
      <c r="F119" s="166">
        <v>1692656</v>
      </c>
      <c r="G119" s="137"/>
      <c r="H119" s="427"/>
    </row>
    <row r="120" spans="1:8" s="52" customFormat="1" ht="20.100000000000001" customHeight="1">
      <c r="A120" s="427"/>
      <c r="B120" s="238"/>
      <c r="C120" s="165"/>
      <c r="D120" s="451"/>
      <c r="E120" s="165" t="s">
        <v>1739</v>
      </c>
      <c r="F120" s="166">
        <v>1951950</v>
      </c>
      <c r="G120" s="137"/>
      <c r="H120" s="427"/>
    </row>
    <row r="121" spans="1:8" s="52" customFormat="1" ht="20.100000000000001" customHeight="1">
      <c r="A121" s="427"/>
      <c r="B121" s="238"/>
      <c r="C121" s="165"/>
      <c r="D121" s="451"/>
      <c r="E121" s="165" t="s">
        <v>1758</v>
      </c>
      <c r="F121" s="166">
        <v>5265408.75</v>
      </c>
      <c r="G121" s="137"/>
      <c r="H121" s="427"/>
    </row>
    <row r="122" spans="1:8" s="52" customFormat="1" ht="20.100000000000001" customHeight="1">
      <c r="A122" s="427"/>
      <c r="B122" s="238"/>
      <c r="C122" s="165"/>
      <c r="D122" s="451"/>
      <c r="E122" s="165" t="s">
        <v>1759</v>
      </c>
      <c r="F122" s="166">
        <v>13564792.5</v>
      </c>
      <c r="G122" s="137"/>
      <c r="H122" s="427"/>
    </row>
    <row r="123" spans="1:8" s="52" customFormat="1" ht="20.100000000000001" customHeight="1">
      <c r="A123" s="427"/>
      <c r="B123" s="238"/>
      <c r="C123" s="165"/>
      <c r="D123" s="451"/>
      <c r="E123" s="165" t="s">
        <v>1760</v>
      </c>
      <c r="F123" s="166">
        <v>20160000</v>
      </c>
      <c r="G123" s="137"/>
      <c r="H123" s="427"/>
    </row>
    <row r="124" spans="1:8" s="52" customFormat="1" ht="20.100000000000001" customHeight="1">
      <c r="A124" s="427"/>
      <c r="B124" s="238"/>
      <c r="C124" s="165"/>
      <c r="D124" s="451"/>
      <c r="E124" s="165" t="s">
        <v>1761</v>
      </c>
      <c r="F124" s="166">
        <v>67915000</v>
      </c>
      <c r="G124" s="137"/>
      <c r="H124" s="427"/>
    </row>
    <row r="125" spans="1:8" s="52" customFormat="1" ht="20.100000000000001" customHeight="1">
      <c r="A125" s="427"/>
      <c r="B125" s="238"/>
      <c r="C125" s="165"/>
      <c r="D125" s="451"/>
      <c r="E125" s="165" t="s">
        <v>1762</v>
      </c>
      <c r="F125" s="166">
        <v>8922328.3000000007</v>
      </c>
      <c r="G125" s="137"/>
      <c r="H125" s="427"/>
    </row>
    <row r="126" spans="1:8" s="52" customFormat="1" ht="20.100000000000001" customHeight="1">
      <c r="A126" s="427"/>
      <c r="B126" s="238"/>
      <c r="C126" s="165"/>
      <c r="D126" s="451"/>
      <c r="E126" s="165" t="s">
        <v>1762</v>
      </c>
      <c r="F126" s="166">
        <v>2214712.0699999998</v>
      </c>
      <c r="G126" s="137"/>
      <c r="H126" s="427"/>
    </row>
    <row r="127" spans="1:8" s="52" customFormat="1" ht="20.100000000000001" customHeight="1">
      <c r="A127" s="427"/>
      <c r="B127" s="238"/>
      <c r="C127" s="165"/>
      <c r="D127" s="451"/>
      <c r="E127" s="165" t="s">
        <v>1762</v>
      </c>
      <c r="F127" s="166">
        <v>7885099.6299999999</v>
      </c>
      <c r="G127" s="137"/>
      <c r="H127" s="427"/>
    </row>
    <row r="128" spans="1:8" s="52" customFormat="1" ht="20.100000000000001" customHeight="1">
      <c r="A128" s="427"/>
      <c r="B128" s="238"/>
      <c r="C128" s="165"/>
      <c r="D128" s="451"/>
      <c r="E128" s="165" t="s">
        <v>1763</v>
      </c>
      <c r="F128" s="166">
        <v>17146046.75</v>
      </c>
      <c r="G128" s="137"/>
      <c r="H128" s="427"/>
    </row>
    <row r="129" spans="1:8" s="52" customFormat="1" ht="20.100000000000001" customHeight="1">
      <c r="A129" s="427"/>
      <c r="B129" s="238"/>
      <c r="C129" s="165"/>
      <c r="D129" s="451"/>
      <c r="E129" s="165" t="s">
        <v>1764</v>
      </c>
      <c r="F129" s="166">
        <v>50000000</v>
      </c>
      <c r="G129" s="140"/>
      <c r="H129" s="427"/>
    </row>
    <row r="130" spans="1:8" s="52" customFormat="1" ht="20.100000000000001" customHeight="1">
      <c r="A130" s="427"/>
      <c r="B130" s="238"/>
      <c r="C130" s="165"/>
      <c r="D130" s="451"/>
      <c r="E130" s="165" t="s">
        <v>1765</v>
      </c>
      <c r="F130" s="166">
        <v>80000000</v>
      </c>
      <c r="G130" s="137"/>
      <c r="H130" s="427"/>
    </row>
    <row r="131" spans="1:8" s="52" customFormat="1" ht="20.100000000000001" customHeight="1">
      <c r="A131" s="427"/>
      <c r="B131" s="238"/>
      <c r="C131" s="165"/>
      <c r="D131" s="451"/>
      <c r="E131" s="165" t="s">
        <v>1766</v>
      </c>
      <c r="F131" s="166">
        <v>19899812.5</v>
      </c>
      <c r="G131" s="137"/>
      <c r="H131" s="427"/>
    </row>
    <row r="132" spans="1:8" s="52" customFormat="1" ht="20.100000000000001" customHeight="1">
      <c r="A132" s="427"/>
      <c r="B132" s="238"/>
      <c r="C132" s="165"/>
      <c r="D132" s="451"/>
      <c r="E132" s="165" t="s">
        <v>1767</v>
      </c>
      <c r="F132" s="166">
        <v>60878421.590000004</v>
      </c>
      <c r="G132" s="137"/>
      <c r="H132" s="427"/>
    </row>
    <row r="133" spans="1:8" s="52" customFormat="1" ht="20.100000000000001" customHeight="1">
      <c r="A133" s="427"/>
      <c r="B133" s="238"/>
      <c r="C133" s="165"/>
      <c r="D133" s="451"/>
      <c r="E133" s="165" t="s">
        <v>1546</v>
      </c>
      <c r="F133" s="166">
        <v>3909548.1</v>
      </c>
      <c r="G133" s="137"/>
      <c r="H133" s="427"/>
    </row>
    <row r="134" spans="1:8" s="52" customFormat="1" ht="20.100000000000001" customHeight="1">
      <c r="A134" s="427"/>
      <c r="B134" s="238"/>
      <c r="C134" s="165"/>
      <c r="D134" s="451"/>
      <c r="E134" s="165" t="s">
        <v>1768</v>
      </c>
      <c r="F134" s="166">
        <v>24693554.5</v>
      </c>
      <c r="G134" s="137"/>
      <c r="H134" s="427"/>
    </row>
    <row r="135" spans="1:8" s="52" customFormat="1" ht="20.100000000000001" customHeight="1">
      <c r="A135" s="427"/>
      <c r="B135" s="238"/>
      <c r="C135" s="165"/>
      <c r="D135" s="451"/>
      <c r="E135" s="165" t="s">
        <v>1769</v>
      </c>
      <c r="F135" s="166">
        <v>50000000</v>
      </c>
      <c r="G135" s="140"/>
      <c r="H135" s="427"/>
    </row>
    <row r="136" spans="1:8" s="52" customFormat="1" ht="20.100000000000001" customHeight="1">
      <c r="A136" s="427"/>
      <c r="B136" s="238"/>
      <c r="C136" s="165"/>
      <c r="D136" s="451"/>
      <c r="E136" s="165" t="s">
        <v>1770</v>
      </c>
      <c r="F136" s="166">
        <v>10325318.16</v>
      </c>
      <c r="G136" s="137"/>
      <c r="H136" s="427"/>
    </row>
    <row r="137" spans="1:8" s="52" customFormat="1" ht="20.100000000000001" customHeight="1">
      <c r="A137" s="427"/>
      <c r="B137" s="238"/>
      <c r="C137" s="165"/>
      <c r="D137" s="451"/>
      <c r="E137" s="165" t="s">
        <v>1771</v>
      </c>
      <c r="F137" s="166">
        <v>16870546.07</v>
      </c>
      <c r="G137" s="137"/>
      <c r="H137" s="427"/>
    </row>
    <row r="138" spans="1:8" s="52" customFormat="1" ht="20.100000000000001" customHeight="1">
      <c r="A138" s="427"/>
      <c r="B138" s="238"/>
      <c r="C138" s="165"/>
      <c r="D138" s="451"/>
      <c r="E138" s="165" t="s">
        <v>1772</v>
      </c>
      <c r="F138" s="166">
        <v>1446940.5</v>
      </c>
      <c r="G138" s="137"/>
      <c r="H138" s="427"/>
    </row>
    <row r="139" spans="1:8" s="52" customFormat="1" ht="20.100000000000001" customHeight="1">
      <c r="A139" s="427"/>
      <c r="B139" s="238"/>
      <c r="C139" s="165"/>
      <c r="D139" s="451"/>
      <c r="E139" s="165" t="s">
        <v>1773</v>
      </c>
      <c r="F139" s="166">
        <v>50000000</v>
      </c>
      <c r="G139" s="137"/>
      <c r="H139" s="427"/>
    </row>
    <row r="140" spans="1:8" s="52" customFormat="1" ht="20.100000000000001" customHeight="1">
      <c r="A140" s="427"/>
      <c r="B140" s="238"/>
      <c r="C140" s="165"/>
      <c r="D140" s="451"/>
      <c r="E140" s="165" t="s">
        <v>1774</v>
      </c>
      <c r="F140" s="166">
        <v>69601140</v>
      </c>
      <c r="G140" s="137"/>
      <c r="H140" s="427"/>
    </row>
    <row r="141" spans="1:8" s="52" customFormat="1" ht="20.100000000000001" customHeight="1">
      <c r="A141" s="427"/>
      <c r="B141" s="238"/>
      <c r="C141" s="165"/>
      <c r="D141" s="451"/>
      <c r="E141" s="165" t="s">
        <v>1775</v>
      </c>
      <c r="F141" s="166">
        <v>103086408</v>
      </c>
      <c r="G141" s="140"/>
      <c r="H141" s="427"/>
    </row>
    <row r="142" spans="1:8" s="52" customFormat="1" ht="20.100000000000001" customHeight="1">
      <c r="A142" s="427"/>
      <c r="B142" s="238"/>
      <c r="C142" s="165"/>
      <c r="D142" s="451"/>
      <c r="E142" s="165" t="s">
        <v>1776</v>
      </c>
      <c r="F142" s="166">
        <v>44262268.25</v>
      </c>
      <c r="G142" s="137"/>
      <c r="H142" s="427"/>
    </row>
    <row r="143" spans="1:8" s="52" customFormat="1" ht="20.100000000000001" customHeight="1">
      <c r="A143" s="427"/>
      <c r="B143" s="238"/>
      <c r="C143" s="165"/>
      <c r="D143" s="451"/>
      <c r="E143" s="165" t="s">
        <v>1777</v>
      </c>
      <c r="F143" s="166">
        <v>184863211.19</v>
      </c>
      <c r="G143" s="137"/>
      <c r="H143" s="427"/>
    </row>
    <row r="144" spans="1:8" s="52" customFormat="1" ht="20.100000000000001" customHeight="1">
      <c r="A144" s="427"/>
      <c r="B144" s="238"/>
      <c r="C144" s="165"/>
      <c r="D144" s="451"/>
      <c r="E144" s="391" t="s">
        <v>1680</v>
      </c>
      <c r="F144" s="390">
        <v>46492640.939999998</v>
      </c>
      <c r="G144" s="140"/>
      <c r="H144" s="427"/>
    </row>
    <row r="145" spans="1:8" s="52" customFormat="1" ht="20.100000000000001" customHeight="1">
      <c r="A145" s="427"/>
      <c r="B145" s="238"/>
      <c r="C145" s="165"/>
      <c r="D145" s="451"/>
      <c r="E145" s="391" t="s">
        <v>1681</v>
      </c>
      <c r="F145" s="390">
        <v>11827649.439999999</v>
      </c>
      <c r="G145" s="140"/>
      <c r="H145" s="427"/>
    </row>
    <row r="146" spans="1:8" s="52" customFormat="1" ht="20.100000000000001" customHeight="1">
      <c r="A146" s="427"/>
      <c r="B146" s="238"/>
      <c r="C146" s="165"/>
      <c r="D146" s="451"/>
      <c r="E146" s="391" t="s">
        <v>1682</v>
      </c>
      <c r="F146" s="390">
        <v>3322088.11</v>
      </c>
      <c r="G146" s="140"/>
      <c r="H146" s="427"/>
    </row>
    <row r="147" spans="1:8" s="52" customFormat="1" ht="20.100000000000001" customHeight="1">
      <c r="A147" s="427"/>
      <c r="B147" s="238"/>
      <c r="C147" s="165"/>
      <c r="D147" s="451"/>
      <c r="E147" s="391" t="s">
        <v>1683</v>
      </c>
      <c r="F147" s="390">
        <v>13383492.449999999</v>
      </c>
      <c r="G147" s="140"/>
      <c r="H147" s="427"/>
    </row>
    <row r="148" spans="1:8" s="52" customFormat="1" ht="20.100000000000001" customHeight="1">
      <c r="A148" s="427"/>
      <c r="B148" s="238"/>
      <c r="C148" s="165"/>
      <c r="D148" s="451"/>
      <c r="E148" s="391" t="s">
        <v>1684</v>
      </c>
      <c r="F148" s="390">
        <v>25000000</v>
      </c>
      <c r="G148" s="140"/>
      <c r="H148" s="427"/>
    </row>
    <row r="149" spans="1:8" s="52" customFormat="1" ht="20.100000000000001" customHeight="1">
      <c r="A149" s="427"/>
      <c r="B149" s="238"/>
      <c r="C149" s="165"/>
      <c r="D149" s="451"/>
      <c r="E149" s="165"/>
      <c r="F149" s="166"/>
      <c r="G149" s="137">
        <f>SUM(F42:F148)</f>
        <v>8334692731.5399981</v>
      </c>
      <c r="H149" s="427"/>
    </row>
    <row r="150" spans="1:8" s="52" customFormat="1" ht="20.100000000000001" customHeight="1">
      <c r="A150" s="427"/>
      <c r="B150" s="238">
        <v>3</v>
      </c>
      <c r="C150" s="165"/>
      <c r="D150" s="451" t="s">
        <v>1549</v>
      </c>
      <c r="E150" s="165" t="s">
        <v>1778</v>
      </c>
      <c r="F150" s="166">
        <v>3180000</v>
      </c>
      <c r="G150" s="137"/>
      <c r="H150" s="427"/>
    </row>
    <row r="151" spans="1:8" s="52" customFormat="1" ht="20.100000000000001" customHeight="1">
      <c r="A151" s="427"/>
      <c r="B151" s="238"/>
      <c r="C151" s="165"/>
      <c r="D151" s="451"/>
      <c r="E151" s="165" t="s">
        <v>1779</v>
      </c>
      <c r="F151" s="166">
        <v>140000000</v>
      </c>
      <c r="G151" s="137"/>
      <c r="H151" s="427"/>
    </row>
    <row r="152" spans="1:8" s="52" customFormat="1" ht="20.100000000000001" customHeight="1">
      <c r="A152" s="427"/>
      <c r="B152" s="238"/>
      <c r="C152" s="165"/>
      <c r="D152" s="451"/>
      <c r="E152" s="165" t="s">
        <v>1780</v>
      </c>
      <c r="F152" s="166">
        <v>130613280</v>
      </c>
      <c r="G152" s="137"/>
      <c r="H152" s="427"/>
    </row>
    <row r="153" spans="1:8" s="27" customFormat="1" ht="20.100000000000001" customHeight="1">
      <c r="A153" s="265"/>
      <c r="B153" s="238"/>
      <c r="C153" s="165"/>
      <c r="D153" s="451"/>
      <c r="E153" s="165" t="s">
        <v>1781</v>
      </c>
      <c r="F153" s="166">
        <v>5000000</v>
      </c>
      <c r="G153" s="137"/>
      <c r="H153" s="265"/>
    </row>
    <row r="154" spans="1:8" s="27" customFormat="1" ht="20.100000000000001" customHeight="1">
      <c r="A154" s="265"/>
      <c r="B154" s="238"/>
      <c r="C154" s="165"/>
      <c r="D154" s="451"/>
      <c r="E154" s="165" t="s">
        <v>1731</v>
      </c>
      <c r="F154" s="166">
        <f>70613280+155068859</f>
        <v>225682139</v>
      </c>
      <c r="G154" s="137"/>
      <c r="H154" s="265"/>
    </row>
    <row r="155" spans="1:8" s="27" customFormat="1" ht="20.100000000000001" customHeight="1">
      <c r="A155" s="265"/>
      <c r="B155" s="238">
        <v>4</v>
      </c>
      <c r="C155" s="165"/>
      <c r="D155" s="451"/>
      <c r="E155" s="165"/>
      <c r="F155" s="166"/>
      <c r="G155" s="137">
        <f>F150+F151+F152+F153+F154</f>
        <v>504475419</v>
      </c>
      <c r="H155" s="265"/>
    </row>
    <row r="156" spans="1:8" s="27" customFormat="1" ht="20.100000000000001" customHeight="1">
      <c r="A156" s="265"/>
      <c r="B156" s="238"/>
      <c r="C156" s="165"/>
      <c r="D156" s="451" t="s">
        <v>933</v>
      </c>
      <c r="E156" s="165" t="s">
        <v>1782</v>
      </c>
      <c r="F156" s="166">
        <v>50000000</v>
      </c>
      <c r="G156" s="137"/>
      <c r="H156" s="265"/>
    </row>
    <row r="157" spans="1:8" s="27" customFormat="1" ht="20.100000000000001" customHeight="1">
      <c r="A157" s="265"/>
      <c r="B157" s="238"/>
      <c r="C157" s="165"/>
      <c r="D157" s="451"/>
      <c r="E157" s="165"/>
      <c r="F157" s="166"/>
      <c r="G157" s="137">
        <f>F156</f>
        <v>50000000</v>
      </c>
      <c r="H157" s="265"/>
    </row>
    <row r="158" spans="1:8" s="27" customFormat="1" ht="20.100000000000001" customHeight="1">
      <c r="A158" s="265"/>
      <c r="B158" s="452"/>
      <c r="C158" s="453"/>
      <c r="D158" s="454" t="s">
        <v>65</v>
      </c>
      <c r="E158" s="453"/>
      <c r="F158" s="455"/>
      <c r="G158" s="140">
        <f>G41+G149+G155+G157</f>
        <v>11494248454.259998</v>
      </c>
      <c r="H158" s="265"/>
    </row>
    <row r="159" spans="1:8" s="27" customFormat="1" ht="20.100000000000001" customHeight="1">
      <c r="A159" s="265"/>
      <c r="B159" s="238"/>
      <c r="C159" s="165" t="s">
        <v>1550</v>
      </c>
      <c r="D159" s="451" t="s">
        <v>822</v>
      </c>
      <c r="E159" s="165" t="s">
        <v>1551</v>
      </c>
      <c r="F159" s="166">
        <v>2000000</v>
      </c>
      <c r="G159" s="137"/>
      <c r="H159" s="265"/>
    </row>
    <row r="160" spans="1:8" s="27" customFormat="1" ht="20.100000000000001" customHeight="1">
      <c r="A160" s="265"/>
      <c r="B160" s="238"/>
      <c r="C160" s="165"/>
      <c r="D160" s="451"/>
      <c r="E160" s="165"/>
      <c r="F160" s="166"/>
      <c r="G160" s="137">
        <f>F159</f>
        <v>2000000</v>
      </c>
      <c r="H160" s="265"/>
    </row>
    <row r="161" spans="1:8" s="30" customFormat="1" ht="20.100000000000001" customHeight="1">
      <c r="A161" s="352"/>
      <c r="B161" s="452"/>
      <c r="C161" s="453"/>
      <c r="D161" s="454" t="s">
        <v>65</v>
      </c>
      <c r="E161" s="453"/>
      <c r="F161" s="455"/>
      <c r="G161" s="140">
        <f>SUM(G159:G160)</f>
        <v>2000000</v>
      </c>
      <c r="H161" s="352"/>
    </row>
    <row r="162" spans="1:8" s="27" customFormat="1" ht="20.100000000000001" customHeight="1">
      <c r="A162" s="265"/>
      <c r="B162" s="238"/>
      <c r="C162" s="165" t="s">
        <v>1783</v>
      </c>
      <c r="D162" s="451" t="s">
        <v>715</v>
      </c>
      <c r="E162" s="165" t="s">
        <v>1784</v>
      </c>
      <c r="F162" s="166">
        <v>4382006</v>
      </c>
      <c r="G162" s="137"/>
      <c r="H162" s="265"/>
    </row>
    <row r="163" spans="1:8" s="27" customFormat="1" ht="20.100000000000001" customHeight="1">
      <c r="A163" s="265"/>
      <c r="B163" s="238"/>
      <c r="C163" s="165"/>
      <c r="D163" s="451"/>
      <c r="E163" s="165" t="s">
        <v>1785</v>
      </c>
      <c r="F163" s="166">
        <v>2402812.7999999998</v>
      </c>
      <c r="G163" s="137"/>
      <c r="H163" s="265"/>
    </row>
    <row r="164" spans="1:8" s="27" customFormat="1" ht="20.100000000000001" customHeight="1">
      <c r="A164" s="265"/>
      <c r="B164" s="238"/>
      <c r="C164" s="165"/>
      <c r="D164" s="451"/>
      <c r="E164" s="165"/>
      <c r="F164" s="166"/>
      <c r="G164" s="137">
        <f>F162+F163</f>
        <v>6784818.7999999998</v>
      </c>
      <c r="H164" s="265"/>
    </row>
    <row r="165" spans="1:8" s="27" customFormat="1" ht="20.100000000000001" customHeight="1">
      <c r="A165" s="265"/>
      <c r="B165" s="238"/>
      <c r="C165" s="165"/>
      <c r="D165" s="454" t="s">
        <v>65</v>
      </c>
      <c r="E165" s="165"/>
      <c r="F165" s="166"/>
      <c r="G165" s="137">
        <f>SUM(G162:G164)</f>
        <v>6784818.7999999998</v>
      </c>
      <c r="H165" s="265"/>
    </row>
    <row r="166" spans="1:8" s="27" customFormat="1" ht="20.100000000000001" customHeight="1">
      <c r="A166" s="265"/>
      <c r="B166" s="238"/>
      <c r="C166" s="165" t="s">
        <v>1906</v>
      </c>
      <c r="D166" s="451" t="s">
        <v>715</v>
      </c>
      <c r="E166" s="165" t="s">
        <v>1786</v>
      </c>
      <c r="F166" s="166">
        <v>79980898.840000004</v>
      </c>
      <c r="G166" s="137"/>
      <c r="H166" s="265"/>
    </row>
    <row r="167" spans="1:8" s="27" customFormat="1" ht="20.100000000000001" customHeight="1">
      <c r="A167" s="265"/>
      <c r="B167" s="238"/>
      <c r="C167" s="165"/>
      <c r="D167" s="451"/>
      <c r="E167" s="165"/>
      <c r="F167" s="166"/>
      <c r="G167" s="137">
        <f>F166</f>
        <v>79980898.840000004</v>
      </c>
      <c r="H167" s="265"/>
    </row>
    <row r="168" spans="1:8" s="27" customFormat="1" ht="20.100000000000001" customHeight="1">
      <c r="A168" s="265"/>
      <c r="B168" s="452"/>
      <c r="C168" s="453"/>
      <c r="D168" s="456" t="s">
        <v>65</v>
      </c>
      <c r="E168" s="453"/>
      <c r="F168" s="455"/>
      <c r="G168" s="140">
        <f>SUM(G166:G167)</f>
        <v>79980898.840000004</v>
      </c>
      <c r="H168" s="265"/>
    </row>
    <row r="169" spans="1:8" s="27" customFormat="1" ht="20.100000000000001" customHeight="1">
      <c r="A169" s="265"/>
      <c r="B169" s="238"/>
      <c r="C169" s="165" t="s">
        <v>1365</v>
      </c>
      <c r="D169" s="451" t="s">
        <v>715</v>
      </c>
      <c r="E169" s="165" t="s">
        <v>1787</v>
      </c>
      <c r="F169" s="166">
        <v>24964886.359999999</v>
      </c>
      <c r="G169" s="137"/>
      <c r="H169" s="265"/>
    </row>
    <row r="170" spans="1:8" s="27" customFormat="1" ht="20.100000000000001" customHeight="1">
      <c r="A170" s="265"/>
      <c r="B170" s="238"/>
      <c r="C170" s="165"/>
      <c r="D170" s="451"/>
      <c r="E170" s="165" t="s">
        <v>1552</v>
      </c>
      <c r="F170" s="166">
        <v>3277032.88</v>
      </c>
      <c r="G170" s="137"/>
      <c r="H170" s="265"/>
    </row>
    <row r="171" spans="1:8" s="27" customFormat="1" ht="20.100000000000001" customHeight="1">
      <c r="A171" s="265"/>
      <c r="B171" s="238"/>
      <c r="C171" s="165"/>
      <c r="D171" s="451"/>
      <c r="E171" s="165" t="s">
        <v>1788</v>
      </c>
      <c r="F171" s="166">
        <v>4002757.5</v>
      </c>
      <c r="G171" s="137"/>
      <c r="H171" s="265"/>
    </row>
    <row r="172" spans="1:8" s="27" customFormat="1" ht="20.100000000000001" customHeight="1">
      <c r="A172" s="265"/>
      <c r="B172" s="238"/>
      <c r="C172" s="165"/>
      <c r="D172" s="451"/>
      <c r="E172" s="165" t="s">
        <v>1789</v>
      </c>
      <c r="F172" s="166">
        <v>15600000</v>
      </c>
      <c r="G172" s="137"/>
      <c r="H172" s="265"/>
    </row>
    <row r="173" spans="1:8" s="27" customFormat="1" ht="20.100000000000001" customHeight="1">
      <c r="A173" s="265"/>
      <c r="B173" s="238"/>
      <c r="C173" s="165"/>
      <c r="D173" s="451"/>
      <c r="E173" s="165" t="s">
        <v>1790</v>
      </c>
      <c r="F173" s="166">
        <v>6000000</v>
      </c>
      <c r="G173" s="137"/>
      <c r="H173" s="265"/>
    </row>
    <row r="174" spans="1:8" s="27" customFormat="1" ht="20.100000000000001" customHeight="1">
      <c r="A174" s="265"/>
      <c r="B174" s="238"/>
      <c r="C174" s="165"/>
      <c r="D174" s="451"/>
      <c r="E174" s="165" t="s">
        <v>1791</v>
      </c>
      <c r="F174" s="166">
        <v>4325430.9400000004</v>
      </c>
      <c r="G174" s="137"/>
      <c r="H174" s="265"/>
    </row>
    <row r="175" spans="1:8" s="27" customFormat="1" ht="20.100000000000001" customHeight="1">
      <c r="A175" s="265"/>
      <c r="B175" s="238"/>
      <c r="C175" s="165"/>
      <c r="D175" s="451"/>
      <c r="E175" s="165" t="s">
        <v>1792</v>
      </c>
      <c r="F175" s="166">
        <v>1233800</v>
      </c>
      <c r="G175" s="137"/>
      <c r="H175" s="265"/>
    </row>
    <row r="176" spans="1:8" s="27" customFormat="1" ht="20.100000000000001" customHeight="1">
      <c r="A176" s="265"/>
      <c r="B176" s="238"/>
      <c r="C176" s="165"/>
      <c r="D176" s="451"/>
      <c r="E176" s="165"/>
      <c r="F176" s="166"/>
      <c r="G176" s="137">
        <f>SUM(F169:F175)</f>
        <v>59403907.679999992</v>
      </c>
      <c r="H176" s="265"/>
    </row>
    <row r="177" spans="1:8" s="27" customFormat="1" ht="20.100000000000001" customHeight="1">
      <c r="A177" s="265"/>
      <c r="B177" s="452"/>
      <c r="C177" s="453"/>
      <c r="D177" s="456" t="s">
        <v>65</v>
      </c>
      <c r="E177" s="453"/>
      <c r="F177" s="455"/>
      <c r="G177" s="140">
        <f>SUM(G176)</f>
        <v>59403907.679999992</v>
      </c>
      <c r="H177" s="265"/>
    </row>
    <row r="178" spans="1:8" s="27" customFormat="1" ht="20.100000000000001" customHeight="1">
      <c r="A178" s="265"/>
      <c r="B178" s="238"/>
      <c r="C178" s="165" t="s">
        <v>1553</v>
      </c>
      <c r="D178" s="451" t="s">
        <v>715</v>
      </c>
      <c r="E178" s="165" t="s">
        <v>1793</v>
      </c>
      <c r="F178" s="166">
        <v>12666150</v>
      </c>
      <c r="G178" s="137"/>
      <c r="H178" s="265"/>
    </row>
    <row r="179" spans="1:8" s="27" customFormat="1" ht="20.100000000000001" customHeight="1">
      <c r="A179" s="265"/>
      <c r="B179" s="238"/>
      <c r="C179" s="165"/>
      <c r="D179" s="451"/>
      <c r="E179" s="165" t="s">
        <v>1794</v>
      </c>
      <c r="F179" s="166">
        <v>2500000</v>
      </c>
      <c r="G179" s="137"/>
      <c r="H179" s="265"/>
    </row>
    <row r="180" spans="1:8" s="27" customFormat="1" ht="20.100000000000001" customHeight="1">
      <c r="A180" s="265"/>
      <c r="B180" s="238"/>
      <c r="C180" s="165"/>
      <c r="D180" s="451"/>
      <c r="E180" s="165" t="s">
        <v>1795</v>
      </c>
      <c r="F180" s="166">
        <v>11673837.210000001</v>
      </c>
      <c r="G180" s="137"/>
      <c r="H180" s="265"/>
    </row>
    <row r="181" spans="1:8" s="27" customFormat="1" ht="20.100000000000001" customHeight="1">
      <c r="A181" s="265"/>
      <c r="B181" s="238"/>
      <c r="C181" s="165"/>
      <c r="D181" s="451"/>
      <c r="E181" s="165" t="s">
        <v>1796</v>
      </c>
      <c r="F181" s="166">
        <v>33375235.559999999</v>
      </c>
      <c r="G181" s="137"/>
      <c r="H181" s="265"/>
    </row>
    <row r="182" spans="1:8" s="27" customFormat="1" ht="20.100000000000001" customHeight="1">
      <c r="A182" s="265"/>
      <c r="B182" s="238"/>
      <c r="C182" s="165"/>
      <c r="D182" s="451"/>
      <c r="E182" s="165" t="s">
        <v>1797</v>
      </c>
      <c r="F182" s="166">
        <v>34554534.899999999</v>
      </c>
      <c r="G182" s="137"/>
      <c r="H182" s="265"/>
    </row>
    <row r="183" spans="1:8" s="27" customFormat="1" ht="20.100000000000001" customHeight="1">
      <c r="A183" s="265"/>
      <c r="B183" s="238"/>
      <c r="C183" s="165"/>
      <c r="D183" s="451"/>
      <c r="E183" s="165"/>
      <c r="F183" s="166"/>
      <c r="G183" s="137">
        <f>SUM(F178:F182)</f>
        <v>94769757.669999987</v>
      </c>
      <c r="H183" s="265"/>
    </row>
    <row r="184" spans="1:8" s="27" customFormat="1" ht="20.100000000000001" customHeight="1">
      <c r="A184" s="265"/>
      <c r="B184" s="238"/>
      <c r="C184" s="165"/>
      <c r="D184" s="451" t="s">
        <v>717</v>
      </c>
      <c r="E184" s="165" t="s">
        <v>1798</v>
      </c>
      <c r="F184" s="166">
        <v>15331290</v>
      </c>
      <c r="G184" s="137"/>
      <c r="H184" s="265"/>
    </row>
    <row r="185" spans="1:8" s="52" customFormat="1" ht="20.100000000000001" customHeight="1">
      <c r="A185" s="427"/>
      <c r="B185" s="238"/>
      <c r="C185" s="165"/>
      <c r="D185" s="451"/>
      <c r="E185" s="165" t="s">
        <v>1799</v>
      </c>
      <c r="F185" s="166">
        <v>11340697.67</v>
      </c>
      <c r="G185" s="137"/>
      <c r="H185" s="427"/>
    </row>
    <row r="186" spans="1:8" s="52" customFormat="1" ht="20.100000000000001" customHeight="1">
      <c r="A186" s="427"/>
      <c r="B186" s="238"/>
      <c r="C186" s="165"/>
      <c r="D186" s="451"/>
      <c r="E186" s="165" t="s">
        <v>1800</v>
      </c>
      <c r="F186" s="166">
        <v>61395343.840000004</v>
      </c>
      <c r="G186" s="137"/>
      <c r="H186" s="427"/>
    </row>
    <row r="187" spans="1:8" s="52" customFormat="1" ht="20.100000000000001" customHeight="1">
      <c r="A187" s="427"/>
      <c r="B187" s="238"/>
      <c r="C187" s="165"/>
      <c r="D187" s="451"/>
      <c r="E187" s="165" t="s">
        <v>1801</v>
      </c>
      <c r="F187" s="166">
        <v>11340697.689999999</v>
      </c>
      <c r="G187" s="137"/>
      <c r="H187" s="427"/>
    </row>
    <row r="188" spans="1:8" s="52" customFormat="1" ht="20.100000000000001" customHeight="1">
      <c r="A188" s="427"/>
      <c r="B188" s="238"/>
      <c r="C188" s="165"/>
      <c r="D188" s="451"/>
      <c r="E188" s="165"/>
      <c r="F188" s="166"/>
      <c r="G188" s="137">
        <f>F184+F185+F186+F187</f>
        <v>99408029.200000003</v>
      </c>
      <c r="H188" s="427"/>
    </row>
    <row r="189" spans="1:8" s="52" customFormat="1" ht="20.100000000000001" customHeight="1">
      <c r="A189" s="427"/>
      <c r="B189" s="238"/>
      <c r="C189" s="165"/>
      <c r="D189" s="451" t="s">
        <v>1554</v>
      </c>
      <c r="E189" s="165" t="s">
        <v>1802</v>
      </c>
      <c r="F189" s="166">
        <v>16913724</v>
      </c>
      <c r="G189" s="137"/>
      <c r="H189" s="427"/>
    </row>
    <row r="190" spans="1:8" s="52" customFormat="1" ht="20.100000000000001" customHeight="1">
      <c r="A190" s="427"/>
      <c r="B190" s="238"/>
      <c r="C190" s="165"/>
      <c r="D190" s="451"/>
      <c r="E190" s="165"/>
      <c r="F190" s="166"/>
      <c r="G190" s="137">
        <f>F189</f>
        <v>16913724</v>
      </c>
      <c r="H190" s="427"/>
    </row>
    <row r="191" spans="1:8" s="52" customFormat="1" ht="20.100000000000001" customHeight="1">
      <c r="A191" s="427"/>
      <c r="B191" s="452"/>
      <c r="C191" s="453"/>
      <c r="D191" s="456" t="s">
        <v>65</v>
      </c>
      <c r="E191" s="453"/>
      <c r="F191" s="455"/>
      <c r="G191" s="140">
        <f>G183+G188+G190</f>
        <v>211091510.87</v>
      </c>
      <c r="H191" s="427"/>
    </row>
    <row r="192" spans="1:8" s="52" customFormat="1" ht="20.100000000000001" customHeight="1">
      <c r="A192" s="427"/>
      <c r="B192" s="238"/>
      <c r="C192" s="165" t="s">
        <v>534</v>
      </c>
      <c r="D192" s="451" t="s">
        <v>717</v>
      </c>
      <c r="E192" s="165" t="s">
        <v>1803</v>
      </c>
      <c r="F192" s="166">
        <v>1542000</v>
      </c>
      <c r="G192" s="137"/>
      <c r="H192" s="427"/>
    </row>
    <row r="193" spans="1:8" s="52" customFormat="1" ht="20.100000000000001" customHeight="1">
      <c r="A193" s="427"/>
      <c r="B193" s="238"/>
      <c r="C193" s="165"/>
      <c r="D193" s="451"/>
      <c r="E193" s="165"/>
      <c r="F193" s="166"/>
      <c r="G193" s="137">
        <f>F192</f>
        <v>1542000</v>
      </c>
      <c r="H193" s="427"/>
    </row>
    <row r="194" spans="1:8" s="52" customFormat="1" ht="20.100000000000001" customHeight="1">
      <c r="A194" s="427"/>
      <c r="B194" s="452"/>
      <c r="C194" s="453"/>
      <c r="D194" s="456" t="s">
        <v>65</v>
      </c>
      <c r="E194" s="453"/>
      <c r="F194" s="455"/>
      <c r="G194" s="140">
        <f>SUM(G192:G193)</f>
        <v>1542000</v>
      </c>
      <c r="H194" s="427"/>
    </row>
    <row r="195" spans="1:8" s="52" customFormat="1" ht="20.100000000000001" customHeight="1">
      <c r="A195" s="427"/>
      <c r="B195" s="238"/>
      <c r="C195" s="457" t="s">
        <v>1804</v>
      </c>
      <c r="D195" s="364" t="s">
        <v>1805</v>
      </c>
      <c r="E195" s="457" t="s">
        <v>1806</v>
      </c>
      <c r="F195" s="166">
        <v>30000000</v>
      </c>
      <c r="G195" s="137"/>
      <c r="H195" s="427"/>
    </row>
    <row r="196" spans="1:8" s="52" customFormat="1" ht="20.100000000000001" customHeight="1">
      <c r="A196" s="427"/>
      <c r="B196" s="238"/>
      <c r="C196" s="457"/>
      <c r="D196" s="364"/>
      <c r="E196" s="457" t="s">
        <v>1807</v>
      </c>
      <c r="F196" s="458">
        <v>25000000</v>
      </c>
      <c r="G196" s="137"/>
      <c r="H196" s="427"/>
    </row>
    <row r="197" spans="1:8" s="52" customFormat="1" ht="20.100000000000001" customHeight="1">
      <c r="A197" s="427"/>
      <c r="B197" s="238"/>
      <c r="C197" s="457"/>
      <c r="D197" s="364"/>
      <c r="E197" s="457" t="s">
        <v>1808</v>
      </c>
      <c r="F197" s="458">
        <v>25000000</v>
      </c>
      <c r="G197" s="137"/>
      <c r="H197" s="427"/>
    </row>
    <row r="198" spans="1:8" s="52" customFormat="1" ht="20.100000000000001" customHeight="1">
      <c r="A198" s="427"/>
      <c r="B198" s="238"/>
      <c r="C198" s="457"/>
      <c r="D198" s="364"/>
      <c r="E198" s="457" t="s">
        <v>1809</v>
      </c>
      <c r="F198" s="458">
        <v>25000000</v>
      </c>
      <c r="G198" s="137"/>
      <c r="H198" s="427"/>
    </row>
    <row r="199" spans="1:8" s="52" customFormat="1" ht="20.100000000000001" customHeight="1">
      <c r="A199" s="427"/>
      <c r="B199" s="238"/>
      <c r="C199" s="457"/>
      <c r="D199" s="364"/>
      <c r="E199" s="457" t="s">
        <v>1810</v>
      </c>
      <c r="F199" s="458">
        <v>25000000</v>
      </c>
      <c r="G199" s="137"/>
      <c r="H199" s="427"/>
    </row>
    <row r="200" spans="1:8" s="52" customFormat="1" ht="20.100000000000001" customHeight="1">
      <c r="A200" s="427"/>
      <c r="B200" s="238"/>
      <c r="C200" s="457"/>
      <c r="D200" s="364"/>
      <c r="E200" s="457" t="s">
        <v>1811</v>
      </c>
      <c r="F200" s="458">
        <v>100162949.98999999</v>
      </c>
      <c r="G200" s="137"/>
      <c r="H200" s="427"/>
    </row>
    <row r="201" spans="1:8" s="52" customFormat="1" ht="20.100000000000001" customHeight="1">
      <c r="A201" s="427"/>
      <c r="B201" s="238"/>
      <c r="C201" s="457"/>
      <c r="D201" s="364"/>
      <c r="E201" s="457"/>
      <c r="F201" s="458"/>
      <c r="G201" s="137">
        <f>F195+F196+F197+F198+F199+F200</f>
        <v>230162949.99000001</v>
      </c>
      <c r="H201" s="427"/>
    </row>
    <row r="202" spans="1:8" s="52" customFormat="1" ht="20.100000000000001" customHeight="1">
      <c r="A202" s="427"/>
      <c r="B202" s="452"/>
      <c r="C202" s="453"/>
      <c r="D202" s="456" t="s">
        <v>65</v>
      </c>
      <c r="E202" s="459"/>
      <c r="F202" s="460"/>
      <c r="G202" s="140">
        <f>SUM(G195:G201)</f>
        <v>230162949.99000001</v>
      </c>
      <c r="H202" s="427"/>
    </row>
    <row r="203" spans="1:8" s="52" customFormat="1" ht="20.100000000000001" customHeight="1">
      <c r="A203" s="427"/>
      <c r="B203" s="238"/>
      <c r="C203" s="165" t="s">
        <v>1812</v>
      </c>
      <c r="D203" s="364" t="s">
        <v>1805</v>
      </c>
      <c r="E203" s="457" t="s">
        <v>1813</v>
      </c>
      <c r="F203" s="458">
        <v>14605857.5</v>
      </c>
      <c r="G203" s="137"/>
      <c r="H203" s="427"/>
    </row>
    <row r="204" spans="1:8" s="52" customFormat="1" ht="20.100000000000001" customHeight="1">
      <c r="A204" s="427"/>
      <c r="B204" s="238"/>
      <c r="C204" s="165"/>
      <c r="D204" s="165"/>
      <c r="E204" s="457"/>
      <c r="F204" s="458"/>
      <c r="G204" s="137">
        <f>F203</f>
        <v>14605857.5</v>
      </c>
      <c r="H204" s="427"/>
    </row>
    <row r="205" spans="1:8" s="52" customFormat="1" ht="20.100000000000001" customHeight="1">
      <c r="A205" s="427"/>
      <c r="B205" s="452"/>
      <c r="C205" s="453"/>
      <c r="D205" s="456" t="s">
        <v>65</v>
      </c>
      <c r="E205" s="459"/>
      <c r="F205" s="460"/>
      <c r="G205" s="140">
        <f>SUM(G203:G204)</f>
        <v>14605857.5</v>
      </c>
      <c r="H205" s="427"/>
    </row>
    <row r="206" spans="1:8" s="52" customFormat="1" ht="20.100000000000001" customHeight="1">
      <c r="A206" s="427"/>
      <c r="B206" s="238"/>
      <c r="C206" s="165" t="s">
        <v>1814</v>
      </c>
      <c r="D206" s="165" t="s">
        <v>1815</v>
      </c>
      <c r="E206" s="457" t="s">
        <v>1816</v>
      </c>
      <c r="F206" s="458">
        <v>62068966</v>
      </c>
      <c r="G206" s="137"/>
      <c r="H206" s="427"/>
    </row>
    <row r="207" spans="1:8" s="52" customFormat="1" ht="20.100000000000001" customHeight="1">
      <c r="A207" s="427"/>
      <c r="B207" s="238"/>
      <c r="C207" s="165"/>
      <c r="D207" s="165"/>
      <c r="E207" s="457" t="s">
        <v>1817</v>
      </c>
      <c r="F207" s="458">
        <v>75862068.959999993</v>
      </c>
      <c r="G207" s="137"/>
      <c r="H207" s="427"/>
    </row>
    <row r="208" spans="1:8" s="52" customFormat="1" ht="20.100000000000001" customHeight="1">
      <c r="A208" s="427"/>
      <c r="B208" s="238"/>
      <c r="C208" s="165"/>
      <c r="D208" s="165"/>
      <c r="E208" s="457" t="s">
        <v>1818</v>
      </c>
      <c r="F208" s="458">
        <v>31034483</v>
      </c>
      <c r="G208" s="137"/>
      <c r="H208" s="427"/>
    </row>
    <row r="209" spans="1:8" s="52" customFormat="1" ht="20.100000000000001" customHeight="1">
      <c r="A209" s="427"/>
      <c r="B209" s="238"/>
      <c r="C209" s="165"/>
      <c r="D209" s="165"/>
      <c r="E209" s="457"/>
      <c r="F209" s="458"/>
      <c r="G209" s="137">
        <f>F206+F207+F208</f>
        <v>168965517.95999998</v>
      </c>
      <c r="H209" s="427"/>
    </row>
    <row r="210" spans="1:8" s="52" customFormat="1" ht="20.100000000000001" customHeight="1">
      <c r="A210" s="427"/>
      <c r="B210" s="452"/>
      <c r="C210" s="453"/>
      <c r="D210" s="456" t="s">
        <v>65</v>
      </c>
      <c r="E210" s="459"/>
      <c r="F210" s="460"/>
      <c r="G210" s="140">
        <f>SUM(G206:G209)</f>
        <v>168965517.95999998</v>
      </c>
      <c r="H210" s="427"/>
    </row>
    <row r="211" spans="1:8" s="52" customFormat="1" ht="20.100000000000001" customHeight="1">
      <c r="A211" s="427"/>
      <c r="B211" s="238"/>
      <c r="C211" s="165" t="s">
        <v>1819</v>
      </c>
      <c r="D211" s="451" t="s">
        <v>717</v>
      </c>
      <c r="E211" s="457" t="s">
        <v>1820</v>
      </c>
      <c r="F211" s="458">
        <v>52288362.789999999</v>
      </c>
      <c r="G211" s="137"/>
      <c r="H211" s="427"/>
    </row>
    <row r="212" spans="1:8" s="52" customFormat="1" ht="20.100000000000001" customHeight="1">
      <c r="A212" s="427"/>
      <c r="B212" s="238"/>
      <c r="C212" s="165"/>
      <c r="D212" s="451"/>
      <c r="E212" s="165"/>
      <c r="F212" s="166"/>
      <c r="G212" s="137">
        <f>F211</f>
        <v>52288362.789999999</v>
      </c>
      <c r="H212" s="427"/>
    </row>
    <row r="213" spans="1:8" s="52" customFormat="1" ht="20.100000000000001" customHeight="1">
      <c r="A213" s="427"/>
      <c r="B213" s="238"/>
      <c r="C213" s="165"/>
      <c r="D213" s="456" t="s">
        <v>65</v>
      </c>
      <c r="E213" s="165"/>
      <c r="F213" s="166"/>
      <c r="G213" s="137">
        <f>SUM(G211:G212)</f>
        <v>52288362.789999999</v>
      </c>
      <c r="H213" s="427"/>
    </row>
    <row r="214" spans="1:8" s="52" customFormat="1" ht="20.100000000000001" customHeight="1">
      <c r="A214" s="427"/>
      <c r="B214" s="238"/>
      <c r="C214" s="165" t="s">
        <v>1821</v>
      </c>
      <c r="D214" s="364" t="s">
        <v>1805</v>
      </c>
      <c r="E214" s="165" t="s">
        <v>1822</v>
      </c>
      <c r="F214" s="166">
        <v>20079285.600000001</v>
      </c>
      <c r="G214" s="137"/>
      <c r="H214" s="427"/>
    </row>
    <row r="215" spans="1:8" s="52" customFormat="1" ht="20.100000000000001" customHeight="1">
      <c r="A215" s="427"/>
      <c r="B215" s="238"/>
      <c r="C215" s="165"/>
      <c r="D215" s="451"/>
      <c r="E215" s="165" t="s">
        <v>1822</v>
      </c>
      <c r="F215" s="166">
        <v>14821790.050000001</v>
      </c>
      <c r="G215" s="137"/>
      <c r="H215" s="427"/>
    </row>
    <row r="216" spans="1:8" s="52" customFormat="1" ht="20.100000000000001" customHeight="1">
      <c r="A216" s="427"/>
      <c r="B216" s="238"/>
      <c r="C216" s="165"/>
      <c r="D216" s="451"/>
      <c r="E216" s="165" t="s">
        <v>1822</v>
      </c>
      <c r="F216" s="166">
        <v>6440791.4699999997</v>
      </c>
      <c r="G216" s="137"/>
      <c r="H216" s="427"/>
    </row>
    <row r="217" spans="1:8" s="51" customFormat="1" ht="20.100000000000001" customHeight="1">
      <c r="A217" s="419"/>
      <c r="B217" s="238"/>
      <c r="C217" s="165"/>
      <c r="D217" s="451"/>
      <c r="E217" s="165"/>
      <c r="F217" s="166"/>
      <c r="G217" s="137">
        <f>F214+F215+F216</f>
        <v>41341867.120000005</v>
      </c>
      <c r="H217" s="419"/>
    </row>
    <row r="218" spans="1:8" ht="20.100000000000001" customHeight="1">
      <c r="B218" s="238"/>
      <c r="C218" s="165"/>
      <c r="D218" s="451" t="s">
        <v>717</v>
      </c>
      <c r="E218" s="165" t="s">
        <v>1823</v>
      </c>
      <c r="F218" s="166">
        <v>26693800</v>
      </c>
      <c r="G218" s="137"/>
    </row>
    <row r="219" spans="1:8" ht="20.100000000000001" customHeight="1">
      <c r="B219" s="238"/>
      <c r="C219" s="165"/>
      <c r="D219" s="451"/>
      <c r="E219" s="165"/>
      <c r="F219" s="166"/>
      <c r="G219" s="137">
        <f>F218</f>
        <v>26693800</v>
      </c>
    </row>
    <row r="220" spans="1:8" ht="20.100000000000001" customHeight="1">
      <c r="B220" s="452"/>
      <c r="C220" s="453"/>
      <c r="D220" s="456" t="s">
        <v>65</v>
      </c>
      <c r="E220" s="453"/>
      <c r="F220" s="455"/>
      <c r="G220" s="140">
        <f>SUM(G214:G219)</f>
        <v>68035667.120000005</v>
      </c>
    </row>
    <row r="221" spans="1:8" ht="20.100000000000001" customHeight="1">
      <c r="B221" s="238"/>
      <c r="C221" s="165" t="s">
        <v>286</v>
      </c>
      <c r="D221" s="451" t="s">
        <v>717</v>
      </c>
      <c r="E221" s="165" t="s">
        <v>1824</v>
      </c>
      <c r="F221" s="166">
        <v>11774141.25</v>
      </c>
      <c r="G221" s="137"/>
    </row>
    <row r="222" spans="1:8" ht="20.100000000000001" customHeight="1">
      <c r="B222" s="238"/>
      <c r="C222" s="165"/>
      <c r="D222" s="451"/>
      <c r="E222" s="165" t="s">
        <v>1825</v>
      </c>
      <c r="F222" s="166">
        <v>937553604.00999999</v>
      </c>
      <c r="G222" s="137"/>
    </row>
    <row r="223" spans="1:8" ht="20.100000000000001" customHeight="1">
      <c r="B223" s="238"/>
      <c r="C223" s="165"/>
      <c r="D223" s="451"/>
      <c r="E223" s="165"/>
      <c r="F223" s="166"/>
      <c r="G223" s="137">
        <f>F221+F222</f>
        <v>949327745.25999999</v>
      </c>
    </row>
    <row r="224" spans="1:8" ht="20.100000000000001" customHeight="1">
      <c r="B224" s="238"/>
      <c r="C224" s="165"/>
      <c r="D224" s="364" t="s">
        <v>1805</v>
      </c>
      <c r="E224" s="165" t="s">
        <v>1826</v>
      </c>
      <c r="F224" s="166">
        <v>562532162.40999997</v>
      </c>
      <c r="G224" s="137"/>
    </row>
    <row r="225" spans="1:8" ht="20.100000000000001" customHeight="1">
      <c r="B225" s="238"/>
      <c r="C225" s="165"/>
      <c r="D225" s="451"/>
      <c r="E225" s="165"/>
      <c r="F225" s="166"/>
      <c r="G225" s="137">
        <f>F224</f>
        <v>562532162.40999997</v>
      </c>
    </row>
    <row r="226" spans="1:8" ht="20.100000000000001" customHeight="1">
      <c r="B226" s="238"/>
      <c r="C226" s="165"/>
      <c r="D226" s="451" t="s">
        <v>821</v>
      </c>
      <c r="E226" s="165" t="s">
        <v>1827</v>
      </c>
      <c r="F226" s="166">
        <v>7013960.8600000003</v>
      </c>
      <c r="G226" s="137"/>
    </row>
    <row r="227" spans="1:8" ht="20.100000000000001" customHeight="1">
      <c r="B227" s="238"/>
      <c r="C227" s="165"/>
      <c r="D227" s="451"/>
      <c r="E227" s="165" t="s">
        <v>1828</v>
      </c>
      <c r="F227" s="166">
        <v>998011.75</v>
      </c>
      <c r="G227" s="137"/>
    </row>
    <row r="228" spans="1:8" ht="20.100000000000001" customHeight="1">
      <c r="B228" s="238"/>
      <c r="C228" s="165"/>
      <c r="D228" s="451"/>
      <c r="E228" s="165"/>
      <c r="F228" s="166"/>
      <c r="G228" s="137">
        <f>F226+F227</f>
        <v>8011972.6100000003</v>
      </c>
    </row>
    <row r="229" spans="1:8" s="136" customFormat="1" ht="20.100000000000001" customHeight="1">
      <c r="A229" s="142"/>
      <c r="B229" s="452"/>
      <c r="C229" s="453"/>
      <c r="D229" s="456" t="s">
        <v>65</v>
      </c>
      <c r="E229" s="453"/>
      <c r="F229" s="455"/>
      <c r="G229" s="140">
        <f>SUM(G221:G228)</f>
        <v>1519871880.28</v>
      </c>
      <c r="H229" s="142"/>
    </row>
    <row r="230" spans="1:8" ht="20.100000000000001" customHeight="1">
      <c r="B230" s="238"/>
      <c r="C230" s="165" t="s">
        <v>1907</v>
      </c>
      <c r="D230" s="165" t="s">
        <v>1815</v>
      </c>
      <c r="E230" s="165" t="s">
        <v>1829</v>
      </c>
      <c r="F230" s="166">
        <v>73000000</v>
      </c>
      <c r="G230" s="137"/>
    </row>
    <row r="231" spans="1:8" ht="20.100000000000001" customHeight="1">
      <c r="B231" s="238"/>
      <c r="C231" s="165"/>
      <c r="D231" s="451"/>
      <c r="E231" s="165" t="s">
        <v>1830</v>
      </c>
      <c r="F231" s="166">
        <v>22352941.18</v>
      </c>
      <c r="G231" s="137"/>
    </row>
    <row r="232" spans="1:8" ht="20.100000000000001" customHeight="1">
      <c r="B232" s="238"/>
      <c r="C232" s="165"/>
      <c r="D232" s="451"/>
      <c r="E232" s="165" t="s">
        <v>1831</v>
      </c>
      <c r="F232" s="166">
        <v>9900000</v>
      </c>
      <c r="G232" s="137"/>
    </row>
    <row r="233" spans="1:8" ht="20.100000000000001" customHeight="1">
      <c r="B233" s="238"/>
      <c r="C233" s="165"/>
      <c r="D233" s="451"/>
      <c r="E233" s="165" t="s">
        <v>1832</v>
      </c>
      <c r="F233" s="166">
        <v>14908045</v>
      </c>
      <c r="G233" s="137"/>
    </row>
    <row r="234" spans="1:8" ht="20.100000000000001" customHeight="1">
      <c r="B234" s="238"/>
      <c r="C234" s="165"/>
      <c r="D234" s="451"/>
      <c r="E234" s="165" t="s">
        <v>1833</v>
      </c>
      <c r="F234" s="166">
        <v>8655632.1799999997</v>
      </c>
      <c r="G234" s="137"/>
    </row>
    <row r="235" spans="1:8" ht="20.100000000000001" customHeight="1">
      <c r="B235" s="238"/>
      <c r="C235" s="165"/>
      <c r="D235" s="451"/>
      <c r="E235" s="165" t="s">
        <v>1834</v>
      </c>
      <c r="F235" s="166">
        <v>37356322</v>
      </c>
      <c r="G235" s="137"/>
    </row>
    <row r="236" spans="1:8" ht="18" customHeight="1">
      <c r="B236" s="238"/>
      <c r="C236" s="165"/>
      <c r="D236" s="451"/>
      <c r="E236" s="165"/>
      <c r="F236" s="166"/>
      <c r="G236" s="137">
        <f>F230+F231+F232+F233+F234+F235</f>
        <v>166172940.36000001</v>
      </c>
    </row>
    <row r="237" spans="1:8" s="136" customFormat="1" ht="18" customHeight="1">
      <c r="A237" s="142"/>
      <c r="B237" s="452"/>
      <c r="C237" s="453"/>
      <c r="D237" s="456" t="s">
        <v>65</v>
      </c>
      <c r="E237" s="453"/>
      <c r="F237" s="455"/>
      <c r="G237" s="140">
        <f>SUM(G230:G236)</f>
        <v>166172940.36000001</v>
      </c>
      <c r="H237" s="142"/>
    </row>
    <row r="238" spans="1:8" ht="18" customHeight="1">
      <c r="B238" s="238"/>
      <c r="C238" s="165" t="s">
        <v>1908</v>
      </c>
      <c r="D238" s="451" t="s">
        <v>821</v>
      </c>
      <c r="E238" s="165" t="s">
        <v>1835</v>
      </c>
      <c r="F238" s="166">
        <v>3510750</v>
      </c>
      <c r="G238" s="137"/>
    </row>
    <row r="239" spans="1:8" ht="18" customHeight="1">
      <c r="B239" s="238"/>
      <c r="C239" s="165"/>
      <c r="D239" s="451"/>
      <c r="E239" s="165" t="s">
        <v>1835</v>
      </c>
      <c r="F239" s="166">
        <v>2106450</v>
      </c>
      <c r="G239" s="137"/>
    </row>
    <row r="240" spans="1:8" ht="18" customHeight="1">
      <c r="B240" s="238"/>
      <c r="C240" s="165"/>
      <c r="D240" s="451"/>
      <c r="E240" s="165" t="s">
        <v>1835</v>
      </c>
      <c r="F240" s="166">
        <v>1053225</v>
      </c>
      <c r="G240" s="137"/>
    </row>
    <row r="241" spans="1:8" ht="18" customHeight="1">
      <c r="B241" s="238"/>
      <c r="C241" s="165"/>
      <c r="D241" s="451"/>
      <c r="E241" s="165"/>
      <c r="F241" s="166"/>
      <c r="G241" s="137">
        <f>F238+F239+F240</f>
        <v>6670425</v>
      </c>
    </row>
    <row r="242" spans="1:8" s="136" customFormat="1" ht="18" customHeight="1">
      <c r="A242" s="142"/>
      <c r="B242" s="452"/>
      <c r="C242" s="453"/>
      <c r="D242" s="456" t="s">
        <v>65</v>
      </c>
      <c r="E242" s="453"/>
      <c r="F242" s="455"/>
      <c r="G242" s="140">
        <f>SUM(G238:G241)</f>
        <v>6670425</v>
      </c>
      <c r="H242" s="142"/>
    </row>
    <row r="243" spans="1:8" ht="18" customHeight="1">
      <c r="B243" s="238"/>
      <c r="C243" s="165" t="s">
        <v>829</v>
      </c>
      <c r="D243" s="451" t="s">
        <v>1836</v>
      </c>
      <c r="E243" s="165" t="s">
        <v>1837</v>
      </c>
      <c r="F243" s="166">
        <v>66497494.869999997</v>
      </c>
      <c r="G243" s="140"/>
    </row>
    <row r="244" spans="1:8" ht="18" customHeight="1">
      <c r="B244" s="238"/>
      <c r="C244" s="165"/>
      <c r="D244" s="451"/>
      <c r="E244" s="165" t="s">
        <v>1838</v>
      </c>
      <c r="F244" s="166">
        <v>23925000</v>
      </c>
      <c r="G244" s="140"/>
    </row>
    <row r="245" spans="1:8" ht="18" customHeight="1">
      <c r="B245" s="238"/>
      <c r="C245" s="165"/>
      <c r="D245" s="451"/>
      <c r="E245" s="165" t="s">
        <v>1838</v>
      </c>
      <c r="F245" s="166">
        <v>23925000</v>
      </c>
      <c r="G245" s="140"/>
    </row>
    <row r="246" spans="1:8" ht="18" customHeight="1">
      <c r="B246" s="238"/>
      <c r="C246" s="165"/>
      <c r="D246" s="451"/>
      <c r="E246" s="165" t="s">
        <v>1839</v>
      </c>
      <c r="F246" s="166">
        <v>21500000</v>
      </c>
      <c r="G246" s="140"/>
    </row>
    <row r="247" spans="1:8" ht="18" customHeight="1">
      <c r="B247" s="238"/>
      <c r="C247" s="165"/>
      <c r="D247" s="451"/>
      <c r="E247" s="165" t="s">
        <v>1840</v>
      </c>
      <c r="F247" s="166">
        <v>21500000</v>
      </c>
      <c r="G247" s="140"/>
    </row>
    <row r="248" spans="1:8" ht="18" customHeight="1">
      <c r="B248" s="238"/>
      <c r="C248" s="165"/>
      <c r="D248" s="451"/>
      <c r="E248" s="165" t="s">
        <v>1837</v>
      </c>
      <c r="F248" s="166">
        <v>66497494.869999997</v>
      </c>
      <c r="G248" s="140"/>
    </row>
    <row r="249" spans="1:8" ht="18" customHeight="1">
      <c r="B249" s="238"/>
      <c r="C249" s="165"/>
      <c r="D249" s="451"/>
      <c r="E249" s="165"/>
      <c r="F249" s="166"/>
      <c r="G249" s="137">
        <f>F243+F244+F245+F246+F247+F248</f>
        <v>223844989.74000001</v>
      </c>
    </row>
    <row r="250" spans="1:8" ht="18" customHeight="1">
      <c r="B250" s="238"/>
      <c r="C250" s="165"/>
      <c r="D250" s="451" t="s">
        <v>822</v>
      </c>
      <c r="E250" s="165" t="s">
        <v>1841</v>
      </c>
      <c r="F250" s="166">
        <v>12354000</v>
      </c>
      <c r="G250" s="137"/>
    </row>
    <row r="251" spans="1:8" ht="18" customHeight="1">
      <c r="B251" s="238"/>
      <c r="C251" s="165"/>
      <c r="D251" s="451"/>
      <c r="E251" s="165" t="s">
        <v>1841</v>
      </c>
      <c r="F251" s="166">
        <v>12354000</v>
      </c>
      <c r="G251" s="137"/>
    </row>
    <row r="252" spans="1:8" ht="18" customHeight="1">
      <c r="B252" s="238"/>
      <c r="C252" s="165"/>
      <c r="D252" s="451"/>
      <c r="E252" s="165"/>
      <c r="F252" s="166"/>
      <c r="G252" s="137">
        <f>F250+F251</f>
        <v>24708000</v>
      </c>
    </row>
    <row r="253" spans="1:8" ht="18" customHeight="1">
      <c r="B253" s="238"/>
      <c r="C253" s="165"/>
      <c r="D253" s="451" t="s">
        <v>715</v>
      </c>
      <c r="E253" s="165" t="s">
        <v>1842</v>
      </c>
      <c r="F253" s="166">
        <v>2200000</v>
      </c>
      <c r="G253" s="137"/>
    </row>
    <row r="254" spans="1:8" ht="18" customHeight="1">
      <c r="B254" s="238"/>
      <c r="C254" s="165"/>
      <c r="D254" s="451"/>
      <c r="E254" s="165"/>
      <c r="F254" s="166"/>
      <c r="G254" s="137">
        <f>F253</f>
        <v>2200000</v>
      </c>
    </row>
    <row r="255" spans="1:8" ht="17.100000000000001" customHeight="1">
      <c r="B255" s="238"/>
      <c r="C255" s="165"/>
      <c r="D255" s="451" t="s">
        <v>717</v>
      </c>
      <c r="E255" s="165" t="s">
        <v>1843</v>
      </c>
      <c r="F255" s="166">
        <v>990500</v>
      </c>
      <c r="G255" s="137"/>
    </row>
    <row r="256" spans="1:8" ht="17.100000000000001" customHeight="1">
      <c r="B256" s="238"/>
      <c r="C256" s="165"/>
      <c r="D256" s="451"/>
      <c r="E256" s="165" t="s">
        <v>1844</v>
      </c>
      <c r="F256" s="166">
        <v>15000000</v>
      </c>
      <c r="G256" s="137"/>
    </row>
    <row r="257" spans="2:7" ht="17.100000000000001" customHeight="1">
      <c r="B257" s="238"/>
      <c r="C257" s="165"/>
      <c r="D257" s="451"/>
      <c r="E257" s="165" t="s">
        <v>1845</v>
      </c>
      <c r="F257" s="166">
        <v>4995000</v>
      </c>
      <c r="G257" s="137"/>
    </row>
    <row r="258" spans="2:7" ht="17.100000000000001" customHeight="1">
      <c r="B258" s="238"/>
      <c r="C258" s="165"/>
      <c r="D258" s="451"/>
      <c r="E258" s="165" t="s">
        <v>1846</v>
      </c>
      <c r="F258" s="166">
        <v>15000000</v>
      </c>
      <c r="G258" s="137"/>
    </row>
    <row r="259" spans="2:7" ht="17.100000000000001" customHeight="1">
      <c r="B259" s="238"/>
      <c r="C259" s="165"/>
      <c r="D259" s="451"/>
      <c r="E259" s="165" t="s">
        <v>1847</v>
      </c>
      <c r="F259" s="166">
        <v>15153451.949999999</v>
      </c>
      <c r="G259" s="137"/>
    </row>
    <row r="260" spans="2:7" ht="17.100000000000001" customHeight="1">
      <c r="B260" s="238"/>
      <c r="C260" s="165"/>
      <c r="D260" s="451"/>
      <c r="E260" s="165" t="s">
        <v>1847</v>
      </c>
      <c r="F260" s="166">
        <v>15153451.949999999</v>
      </c>
      <c r="G260" s="137"/>
    </row>
    <row r="261" spans="2:7" ht="17.100000000000001" customHeight="1">
      <c r="B261" s="238"/>
      <c r="C261" s="165"/>
      <c r="D261" s="451"/>
      <c r="E261" s="165" t="s">
        <v>1848</v>
      </c>
      <c r="F261" s="166">
        <v>990500</v>
      </c>
      <c r="G261" s="137"/>
    </row>
    <row r="262" spans="2:7" ht="18" customHeight="1">
      <c r="B262" s="238"/>
      <c r="C262" s="165"/>
      <c r="D262" s="451"/>
      <c r="E262" s="165" t="s">
        <v>1849</v>
      </c>
      <c r="F262" s="166">
        <v>6397900</v>
      </c>
      <c r="G262" s="137"/>
    </row>
    <row r="263" spans="2:7" ht="20.100000000000001" customHeight="1">
      <c r="B263" s="238"/>
      <c r="C263" s="165"/>
      <c r="D263" s="451"/>
      <c r="E263" s="165" t="s">
        <v>1850</v>
      </c>
      <c r="F263" s="166">
        <v>4995000</v>
      </c>
      <c r="G263" s="137"/>
    </row>
    <row r="264" spans="2:7" ht="20.100000000000001" customHeight="1">
      <c r="B264" s="238"/>
      <c r="C264" s="165"/>
      <c r="D264" s="451"/>
      <c r="E264" s="165"/>
      <c r="F264" s="166"/>
      <c r="G264" s="137">
        <f>F255+F256+F257+F258+F259+F260+F261+F262+F263</f>
        <v>78675803.900000006</v>
      </c>
    </row>
    <row r="265" spans="2:7" ht="20.100000000000001" customHeight="1">
      <c r="B265" s="238"/>
      <c r="C265" s="165"/>
      <c r="D265" s="451" t="s">
        <v>1851</v>
      </c>
      <c r="E265" s="165" t="s">
        <v>1852</v>
      </c>
      <c r="F265" s="166">
        <v>49410000</v>
      </c>
      <c r="G265" s="137"/>
    </row>
    <row r="266" spans="2:7" ht="20.100000000000001" customHeight="1">
      <c r="B266" s="238"/>
      <c r="C266" s="165"/>
      <c r="D266" s="451"/>
      <c r="E266" s="165" t="s">
        <v>1853</v>
      </c>
      <c r="F266" s="166">
        <v>49410000</v>
      </c>
      <c r="G266" s="137"/>
    </row>
    <row r="267" spans="2:7" ht="20.100000000000001" customHeight="1">
      <c r="B267" s="238"/>
      <c r="C267" s="165"/>
      <c r="D267" s="451"/>
      <c r="E267" s="165" t="s">
        <v>1854</v>
      </c>
      <c r="F267" s="166">
        <v>43500000</v>
      </c>
      <c r="G267" s="137"/>
    </row>
    <row r="268" spans="2:7" ht="20.100000000000001" customHeight="1">
      <c r="B268" s="238"/>
      <c r="C268" s="165"/>
      <c r="D268" s="451"/>
      <c r="E268" s="165" t="s">
        <v>1854</v>
      </c>
      <c r="F268" s="166">
        <v>43500000</v>
      </c>
      <c r="G268" s="137"/>
    </row>
    <row r="269" spans="2:7" ht="20.100000000000001" customHeight="1">
      <c r="B269" s="238"/>
      <c r="C269" s="165"/>
      <c r="D269" s="451"/>
      <c r="E269" s="165"/>
      <c r="F269" s="166"/>
      <c r="G269" s="137">
        <f>F265+F266+F267+F268</f>
        <v>185820000</v>
      </c>
    </row>
    <row r="270" spans="2:7" ht="20.100000000000001" customHeight="1">
      <c r="B270" s="238"/>
      <c r="C270" s="165"/>
      <c r="D270" s="451" t="s">
        <v>1855</v>
      </c>
      <c r="E270" s="165" t="s">
        <v>1856</v>
      </c>
      <c r="F270" s="166">
        <v>1370654.88</v>
      </c>
      <c r="G270" s="137"/>
    </row>
    <row r="271" spans="2:7" ht="20.100000000000001" customHeight="1">
      <c r="B271" s="238"/>
      <c r="C271" s="165"/>
      <c r="D271" s="451"/>
      <c r="E271" s="165" t="s">
        <v>1857</v>
      </c>
      <c r="F271" s="166">
        <v>857594.64</v>
      </c>
      <c r="G271" s="137"/>
    </row>
    <row r="272" spans="2:7" ht="18" customHeight="1">
      <c r="B272" s="238"/>
      <c r="C272" s="165"/>
      <c r="D272" s="451"/>
      <c r="E272" s="165" t="s">
        <v>1858</v>
      </c>
      <c r="F272" s="166">
        <v>2125176.9</v>
      </c>
      <c r="G272" s="137"/>
    </row>
    <row r="273" spans="2:7" ht="18" customHeight="1">
      <c r="B273" s="238"/>
      <c r="C273" s="165"/>
      <c r="D273" s="451"/>
      <c r="E273" s="165" t="s">
        <v>1859</v>
      </c>
      <c r="F273" s="166">
        <v>279832.76</v>
      </c>
      <c r="G273" s="137"/>
    </row>
    <row r="274" spans="2:7" ht="18" customHeight="1">
      <c r="B274" s="238"/>
      <c r="C274" s="165"/>
      <c r="D274" s="451"/>
      <c r="E274" s="165" t="s">
        <v>1860</v>
      </c>
      <c r="F274" s="166">
        <v>7920000</v>
      </c>
      <c r="G274" s="137"/>
    </row>
    <row r="275" spans="2:7" ht="18" customHeight="1">
      <c r="B275" s="238"/>
      <c r="C275" s="165"/>
      <c r="D275" s="451"/>
      <c r="E275" s="165" t="s">
        <v>1861</v>
      </c>
      <c r="F275" s="166">
        <v>751464</v>
      </c>
      <c r="G275" s="137"/>
    </row>
    <row r="276" spans="2:7" ht="20.100000000000001" customHeight="1">
      <c r="B276" s="238"/>
      <c r="C276" s="165"/>
      <c r="D276" s="451"/>
      <c r="E276" s="165" t="s">
        <v>1862</v>
      </c>
      <c r="F276" s="166">
        <v>3676951.29</v>
      </c>
      <c r="G276" s="137"/>
    </row>
    <row r="277" spans="2:7" ht="20.100000000000001" customHeight="1">
      <c r="B277" s="238"/>
      <c r="C277" s="165"/>
      <c r="D277" s="451"/>
      <c r="E277" s="165" t="s">
        <v>1863</v>
      </c>
      <c r="F277" s="166">
        <v>2522062.1</v>
      </c>
      <c r="G277" s="137"/>
    </row>
    <row r="278" spans="2:7" ht="20.100000000000001" customHeight="1">
      <c r="B278" s="238"/>
      <c r="C278" s="165"/>
      <c r="D278" s="451"/>
      <c r="E278" s="165" t="s">
        <v>1864</v>
      </c>
      <c r="F278" s="166">
        <v>236333.96</v>
      </c>
      <c r="G278" s="137"/>
    </row>
    <row r="279" spans="2:7" ht="20.100000000000001" customHeight="1">
      <c r="B279" s="238"/>
      <c r="C279" s="165"/>
      <c r="D279" s="451"/>
      <c r="E279" s="165" t="s">
        <v>1865</v>
      </c>
      <c r="F279" s="166">
        <v>2543365.9700000002</v>
      </c>
      <c r="G279" s="137"/>
    </row>
    <row r="280" spans="2:7" ht="20.100000000000001" customHeight="1">
      <c r="B280" s="238"/>
      <c r="C280" s="165"/>
      <c r="D280" s="451"/>
      <c r="E280" s="165" t="s">
        <v>1866</v>
      </c>
      <c r="F280" s="166">
        <v>2196237.1</v>
      </c>
      <c r="G280" s="137"/>
    </row>
    <row r="281" spans="2:7" ht="20.100000000000001" customHeight="1">
      <c r="B281" s="238"/>
      <c r="C281" s="165"/>
      <c r="D281" s="451"/>
      <c r="E281" s="165" t="s">
        <v>1867</v>
      </c>
      <c r="F281" s="166">
        <v>3848969.35</v>
      </c>
      <c r="G281" s="137"/>
    </row>
    <row r="282" spans="2:7" ht="18" customHeight="1">
      <c r="B282" s="238"/>
      <c r="C282" s="165"/>
      <c r="D282" s="451"/>
      <c r="E282" s="165" t="s">
        <v>1868</v>
      </c>
      <c r="F282" s="166">
        <v>7136369.4500000002</v>
      </c>
      <c r="G282" s="137"/>
    </row>
    <row r="283" spans="2:7" ht="18" customHeight="1">
      <c r="B283" s="238"/>
      <c r="C283" s="165"/>
      <c r="D283" s="451"/>
      <c r="E283" s="165" t="s">
        <v>1869</v>
      </c>
      <c r="F283" s="166">
        <v>3510431.45</v>
      </c>
      <c r="G283" s="137"/>
    </row>
    <row r="284" spans="2:7" ht="18" customHeight="1">
      <c r="B284" s="238"/>
      <c r="C284" s="165"/>
      <c r="D284" s="451"/>
      <c r="E284" s="165" t="s">
        <v>1870</v>
      </c>
      <c r="F284" s="166">
        <v>4147217.87</v>
      </c>
      <c r="G284" s="137"/>
    </row>
    <row r="285" spans="2:7" ht="18" customHeight="1">
      <c r="B285" s="238"/>
      <c r="C285" s="165"/>
      <c r="D285" s="451"/>
      <c r="E285" s="165" t="s">
        <v>1871</v>
      </c>
      <c r="F285" s="166">
        <v>3557352.54</v>
      </c>
      <c r="G285" s="137"/>
    </row>
    <row r="286" spans="2:7" ht="18" customHeight="1">
      <c r="B286" s="238"/>
      <c r="C286" s="165"/>
      <c r="D286" s="451"/>
      <c r="E286" s="165" t="s">
        <v>1872</v>
      </c>
      <c r="F286" s="166">
        <v>2152854.98</v>
      </c>
      <c r="G286" s="137"/>
    </row>
    <row r="287" spans="2:7" ht="18" customHeight="1">
      <c r="B287" s="238"/>
      <c r="C287" s="165"/>
      <c r="D287" s="451"/>
      <c r="E287" s="165" t="s">
        <v>1873</v>
      </c>
      <c r="F287" s="166">
        <v>2398158.4700000002</v>
      </c>
      <c r="G287" s="137"/>
    </row>
    <row r="288" spans="2:7" ht="18" customHeight="1">
      <c r="B288" s="238"/>
      <c r="C288" s="165"/>
      <c r="D288" s="451"/>
      <c r="E288" s="165" t="s">
        <v>1874</v>
      </c>
      <c r="F288" s="166">
        <v>7892575.5199999996</v>
      </c>
      <c r="G288" s="137"/>
    </row>
    <row r="289" spans="2:7" ht="18" customHeight="1">
      <c r="B289" s="238"/>
      <c r="C289" s="165"/>
      <c r="D289" s="451"/>
      <c r="E289" s="165" t="s">
        <v>1875</v>
      </c>
      <c r="F289" s="166">
        <v>7892575.5199999996</v>
      </c>
      <c r="G289" s="137"/>
    </row>
    <row r="290" spans="2:7" ht="18" customHeight="1">
      <c r="B290" s="238"/>
      <c r="C290" s="165"/>
      <c r="D290" s="451"/>
      <c r="E290" s="165" t="s">
        <v>1876</v>
      </c>
      <c r="F290" s="166">
        <v>7892575.5199999996</v>
      </c>
      <c r="G290" s="137"/>
    </row>
    <row r="291" spans="2:7" ht="18" customHeight="1">
      <c r="B291" s="238"/>
      <c r="C291" s="165"/>
      <c r="D291" s="451"/>
      <c r="E291" s="165" t="s">
        <v>1877</v>
      </c>
      <c r="F291" s="166">
        <v>523133.14</v>
      </c>
      <c r="G291" s="137"/>
    </row>
    <row r="292" spans="2:7" ht="18" customHeight="1">
      <c r="B292" s="238"/>
      <c r="C292" s="165"/>
      <c r="D292" s="451"/>
      <c r="E292" s="165" t="s">
        <v>1878</v>
      </c>
      <c r="F292" s="166">
        <v>2308375</v>
      </c>
      <c r="G292" s="137"/>
    </row>
    <row r="293" spans="2:7" ht="18" customHeight="1">
      <c r="B293" s="238"/>
      <c r="C293" s="165"/>
      <c r="D293" s="451"/>
      <c r="E293" s="165" t="s">
        <v>1879</v>
      </c>
      <c r="F293" s="166">
        <v>2101654.88</v>
      </c>
      <c r="G293" s="137"/>
    </row>
    <row r="294" spans="2:7" ht="18" customHeight="1">
      <c r="B294" s="238"/>
      <c r="C294" s="165"/>
      <c r="D294" s="451"/>
      <c r="E294" s="165" t="s">
        <v>1880</v>
      </c>
      <c r="F294" s="166">
        <v>1976613.378</v>
      </c>
      <c r="G294" s="137"/>
    </row>
    <row r="295" spans="2:7" ht="18" customHeight="1">
      <c r="B295" s="238"/>
      <c r="C295" s="165"/>
      <c r="D295" s="451"/>
      <c r="E295" s="165" t="s">
        <v>1881</v>
      </c>
      <c r="F295" s="166">
        <v>2269855.88</v>
      </c>
      <c r="G295" s="137"/>
    </row>
    <row r="296" spans="2:7" ht="18" customHeight="1">
      <c r="B296" s="238"/>
      <c r="C296" s="165"/>
      <c r="D296" s="451"/>
      <c r="E296" s="165" t="s">
        <v>1882</v>
      </c>
      <c r="F296" s="166">
        <v>992042.46</v>
      </c>
      <c r="G296" s="137"/>
    </row>
    <row r="297" spans="2:7" ht="18" customHeight="1">
      <c r="B297" s="238"/>
      <c r="C297" s="165"/>
      <c r="D297" s="451"/>
      <c r="E297" s="165" t="s">
        <v>1537</v>
      </c>
      <c r="F297" s="166">
        <v>5671660.5700000003</v>
      </c>
      <c r="G297" s="137"/>
    </row>
    <row r="298" spans="2:7" ht="18" customHeight="1">
      <c r="B298" s="238"/>
      <c r="C298" s="165"/>
      <c r="D298" s="451"/>
      <c r="E298" s="165" t="s">
        <v>1538</v>
      </c>
      <c r="F298" s="166">
        <v>1908324.78</v>
      </c>
      <c r="G298" s="137"/>
    </row>
    <row r="299" spans="2:7" ht="18" customHeight="1">
      <c r="B299" s="238"/>
      <c r="C299" s="165"/>
      <c r="D299" s="451"/>
      <c r="E299" s="165" t="s">
        <v>1539</v>
      </c>
      <c r="F299" s="166">
        <v>4936007.5</v>
      </c>
      <c r="G299" s="137"/>
    </row>
    <row r="300" spans="2:7" ht="20.100000000000001" customHeight="1">
      <c r="B300" s="238"/>
      <c r="C300" s="165"/>
      <c r="D300" s="451"/>
      <c r="E300" s="165" t="s">
        <v>1540</v>
      </c>
      <c r="F300" s="166">
        <v>1016594.25</v>
      </c>
      <c r="G300" s="137"/>
    </row>
    <row r="301" spans="2:7" ht="20.100000000000001" customHeight="1">
      <c r="B301" s="238"/>
      <c r="C301" s="165"/>
      <c r="D301" s="451"/>
      <c r="E301" s="165" t="s">
        <v>1541</v>
      </c>
      <c r="F301" s="166">
        <v>577500</v>
      </c>
      <c r="G301" s="137"/>
    </row>
    <row r="302" spans="2:7" ht="20.100000000000001" customHeight="1">
      <c r="B302" s="238"/>
      <c r="C302" s="165"/>
      <c r="D302" s="451"/>
      <c r="E302" s="165" t="s">
        <v>1536</v>
      </c>
      <c r="F302" s="166">
        <v>3201617.28</v>
      </c>
      <c r="G302" s="137"/>
    </row>
    <row r="303" spans="2:7" ht="20.100000000000001" customHeight="1">
      <c r="B303" s="238"/>
      <c r="C303" s="165"/>
      <c r="D303" s="451"/>
      <c r="E303" s="165" t="s">
        <v>1542</v>
      </c>
      <c r="F303" s="166">
        <v>2077537.5</v>
      </c>
      <c r="G303" s="137"/>
    </row>
    <row r="304" spans="2:7" ht="20.100000000000001" customHeight="1">
      <c r="B304" s="238"/>
      <c r="C304" s="165"/>
      <c r="D304" s="451"/>
      <c r="E304" s="165" t="s">
        <v>1543</v>
      </c>
      <c r="F304" s="166">
        <v>1162560</v>
      </c>
      <c r="G304" s="137"/>
    </row>
    <row r="305" spans="2:7" ht="20.100000000000001" customHeight="1">
      <c r="B305" s="238"/>
      <c r="C305" s="165"/>
      <c r="D305" s="451"/>
      <c r="E305" s="165" t="s">
        <v>1867</v>
      </c>
      <c r="F305" s="166">
        <v>3464072.41</v>
      </c>
      <c r="G305" s="137"/>
    </row>
    <row r="306" spans="2:7" ht="20.100000000000001" customHeight="1">
      <c r="B306" s="238"/>
      <c r="C306" s="165"/>
      <c r="D306" s="451"/>
      <c r="E306" s="165" t="s">
        <v>1883</v>
      </c>
      <c r="F306" s="166">
        <v>45136.56</v>
      </c>
      <c r="G306" s="137"/>
    </row>
    <row r="307" spans="2:7" ht="20.100000000000001" customHeight="1">
      <c r="B307" s="238"/>
      <c r="C307" s="165"/>
      <c r="D307" s="451"/>
      <c r="E307" s="165" t="s">
        <v>1884</v>
      </c>
      <c r="F307" s="166">
        <v>531294.23</v>
      </c>
      <c r="G307" s="137"/>
    </row>
    <row r="308" spans="2:7" ht="20.100000000000001" customHeight="1">
      <c r="B308" s="238"/>
      <c r="C308" s="165"/>
      <c r="D308" s="451"/>
      <c r="E308" s="165" t="s">
        <v>1885</v>
      </c>
      <c r="F308" s="166">
        <v>5671660.5800000001</v>
      </c>
      <c r="G308" s="137"/>
    </row>
    <row r="309" spans="2:7" ht="20.100000000000001" customHeight="1">
      <c r="B309" s="238"/>
      <c r="C309" s="165"/>
      <c r="D309" s="451"/>
      <c r="E309" s="165" t="s">
        <v>1882</v>
      </c>
      <c r="F309" s="166">
        <v>892838.21</v>
      </c>
      <c r="G309" s="137"/>
    </row>
    <row r="310" spans="2:7" ht="20.100000000000001" customHeight="1">
      <c r="B310" s="238"/>
      <c r="C310" s="165"/>
      <c r="D310" s="451"/>
      <c r="E310" s="165" t="s">
        <v>1879</v>
      </c>
      <c r="F310" s="166">
        <v>1891489.39</v>
      </c>
      <c r="G310" s="137"/>
    </row>
    <row r="311" spans="2:7" ht="20.100000000000001" customHeight="1">
      <c r="B311" s="238"/>
      <c r="C311" s="165"/>
      <c r="D311" s="451"/>
      <c r="E311" s="165" t="s">
        <v>1886</v>
      </c>
      <c r="F311" s="166">
        <v>1779987.5</v>
      </c>
      <c r="G311" s="137"/>
    </row>
    <row r="312" spans="2:7" ht="20.100000000000001" customHeight="1">
      <c r="B312" s="238"/>
      <c r="C312" s="165"/>
      <c r="D312" s="451"/>
      <c r="E312" s="165" t="s">
        <v>1887</v>
      </c>
      <c r="F312" s="166">
        <v>914934.82</v>
      </c>
      <c r="G312" s="137"/>
    </row>
    <row r="313" spans="2:7" ht="20.100000000000001" customHeight="1">
      <c r="B313" s="238"/>
      <c r="C313" s="165"/>
      <c r="D313" s="451"/>
      <c r="E313" s="165" t="s">
        <v>1888</v>
      </c>
      <c r="F313" s="166">
        <v>1046304</v>
      </c>
      <c r="G313" s="137"/>
    </row>
    <row r="314" spans="2:7" ht="20.100000000000001" customHeight="1">
      <c r="B314" s="238"/>
      <c r="C314" s="165"/>
      <c r="D314" s="451"/>
      <c r="E314" s="165" t="s">
        <v>1889</v>
      </c>
      <c r="F314" s="166">
        <v>7103317.96</v>
      </c>
      <c r="G314" s="137"/>
    </row>
    <row r="315" spans="2:7" ht="20.100000000000001" customHeight="1">
      <c r="B315" s="238"/>
      <c r="C315" s="165"/>
      <c r="D315" s="451"/>
      <c r="E315" s="165" t="s">
        <v>1890</v>
      </c>
      <c r="F315" s="166">
        <v>1937569.48</v>
      </c>
      <c r="G315" s="137"/>
    </row>
    <row r="316" spans="2:7" ht="20.100000000000001" customHeight="1">
      <c r="B316" s="238"/>
      <c r="C316" s="165"/>
      <c r="D316" s="451"/>
      <c r="E316" s="165" t="s">
        <v>1891</v>
      </c>
      <c r="F316" s="166">
        <v>1717492</v>
      </c>
      <c r="G316" s="137"/>
    </row>
    <row r="317" spans="2:7" ht="20.100000000000001" customHeight="1">
      <c r="B317" s="238"/>
      <c r="C317" s="165"/>
      <c r="D317" s="451"/>
      <c r="E317" s="165" t="s">
        <v>1892</v>
      </c>
      <c r="F317" s="166">
        <v>2158342.62</v>
      </c>
      <c r="G317" s="137"/>
    </row>
    <row r="318" spans="2:7" ht="20.100000000000001" customHeight="1">
      <c r="B318" s="238"/>
      <c r="C318" s="165"/>
      <c r="D318" s="451"/>
      <c r="E318" s="165" t="s">
        <v>1862</v>
      </c>
      <c r="F318" s="166">
        <v>3309256.16</v>
      </c>
      <c r="G318" s="137"/>
    </row>
    <row r="319" spans="2:7" ht="20.100000000000001" customHeight="1">
      <c r="B319" s="238"/>
      <c r="C319" s="165"/>
      <c r="D319" s="451"/>
      <c r="E319" s="165" t="s">
        <v>1893</v>
      </c>
      <c r="F319" s="166">
        <v>6422737.5099999998</v>
      </c>
      <c r="G319" s="137"/>
    </row>
    <row r="320" spans="2:7" ht="20.100000000000001" customHeight="1">
      <c r="B320" s="238"/>
      <c r="C320" s="165"/>
      <c r="D320" s="451"/>
      <c r="E320" s="165" t="s">
        <v>1869</v>
      </c>
      <c r="F320" s="166">
        <v>3159388.31</v>
      </c>
      <c r="G320" s="137"/>
    </row>
    <row r="321" spans="2:7" ht="20.100000000000001" customHeight="1">
      <c r="B321" s="238"/>
      <c r="C321" s="165"/>
      <c r="D321" s="451"/>
      <c r="E321" s="165" t="s">
        <v>1894</v>
      </c>
      <c r="F321" s="166">
        <v>5104494.5199999996</v>
      </c>
      <c r="G321" s="137"/>
    </row>
    <row r="322" spans="2:7" ht="20.100000000000001" customHeight="1">
      <c r="B322" s="238"/>
      <c r="C322" s="165"/>
      <c r="D322" s="451"/>
      <c r="E322" s="165" t="s">
        <v>1895</v>
      </c>
      <c r="F322" s="166">
        <v>7103317.96</v>
      </c>
      <c r="G322" s="137"/>
    </row>
    <row r="323" spans="2:7" ht="20.100000000000001" customHeight="1">
      <c r="B323" s="238"/>
      <c r="C323" s="165"/>
      <c r="D323" s="451"/>
      <c r="E323" s="165" t="s">
        <v>1896</v>
      </c>
      <c r="F323" s="166">
        <v>2289029.37</v>
      </c>
      <c r="G323" s="137"/>
    </row>
    <row r="324" spans="2:7" ht="20.100000000000001" customHeight="1">
      <c r="B324" s="238"/>
      <c r="C324" s="165"/>
      <c r="D324" s="451"/>
      <c r="E324" s="165" t="s">
        <v>1897</v>
      </c>
      <c r="F324" s="166">
        <v>5104494.5199999996</v>
      </c>
      <c r="G324" s="137"/>
    </row>
    <row r="325" spans="2:7" ht="20.100000000000001" customHeight="1">
      <c r="B325" s="238"/>
      <c r="C325" s="165"/>
      <c r="D325" s="451"/>
      <c r="E325" s="165" t="s">
        <v>1898</v>
      </c>
      <c r="F325" s="166">
        <v>519750</v>
      </c>
      <c r="G325" s="137"/>
    </row>
    <row r="326" spans="2:7" ht="20.100000000000001" customHeight="1">
      <c r="B326" s="238"/>
      <c r="C326" s="165"/>
      <c r="D326" s="451"/>
      <c r="E326" s="165" t="s">
        <v>1899</v>
      </c>
      <c r="F326" s="166">
        <v>4442406.75</v>
      </c>
      <c r="G326" s="137"/>
    </row>
    <row r="327" spans="2:7" ht="20.100000000000001" customHeight="1">
      <c r="B327" s="238"/>
      <c r="C327" s="165"/>
      <c r="D327" s="451"/>
      <c r="E327" s="165" t="s">
        <v>1900</v>
      </c>
      <c r="F327" s="166">
        <v>7103317.96</v>
      </c>
      <c r="G327" s="137"/>
    </row>
    <row r="328" spans="2:7" ht="20.100000000000001" customHeight="1">
      <c r="B328" s="238"/>
      <c r="C328" s="165"/>
      <c r="D328" s="451"/>
      <c r="E328" s="165" t="s">
        <v>1901</v>
      </c>
      <c r="F328" s="166">
        <v>3732496.08</v>
      </c>
      <c r="G328" s="137"/>
    </row>
    <row r="329" spans="2:7" ht="20.100000000000001" customHeight="1">
      <c r="B329" s="238"/>
      <c r="C329" s="165"/>
      <c r="D329" s="451"/>
      <c r="E329" s="165" t="s">
        <v>1902</v>
      </c>
      <c r="F329" s="166">
        <v>880000</v>
      </c>
      <c r="G329" s="137"/>
    </row>
    <row r="330" spans="2:7" ht="20.100000000000001" customHeight="1">
      <c r="B330" s="238"/>
      <c r="C330" s="165"/>
      <c r="D330" s="451"/>
      <c r="E330" s="165" t="s">
        <v>1903</v>
      </c>
      <c r="F330" s="166">
        <v>1601988.75</v>
      </c>
      <c r="G330" s="137"/>
    </row>
    <row r="331" spans="2:7" ht="20.100000000000001" customHeight="1">
      <c r="B331" s="238"/>
      <c r="C331" s="165"/>
      <c r="D331" s="451"/>
      <c r="E331" s="165" t="s">
        <v>1904</v>
      </c>
      <c r="F331" s="166">
        <v>2254656.9300000002</v>
      </c>
      <c r="G331" s="137"/>
    </row>
    <row r="332" spans="2:7" ht="18" customHeight="1">
      <c r="B332" s="143"/>
      <c r="C332" s="144"/>
      <c r="D332" s="145"/>
      <c r="E332" s="144"/>
      <c r="F332" s="137"/>
      <c r="G332" s="137">
        <f>SUM(F270:F331)</f>
        <v>187814005.46800002</v>
      </c>
    </row>
    <row r="333" spans="2:7" ht="18" customHeight="1">
      <c r="B333" s="141"/>
      <c r="C333" s="311"/>
      <c r="D333" s="456" t="s">
        <v>65</v>
      </c>
      <c r="E333" s="311"/>
      <c r="F333" s="140"/>
      <c r="G333" s="140">
        <f>G249+G252+G254+G264+G269+G332</f>
        <v>703062799.10800004</v>
      </c>
    </row>
    <row r="334" spans="2:7" s="142" customFormat="1" ht="18" customHeight="1">
      <c r="B334" s="143"/>
      <c r="C334" s="165" t="s">
        <v>694</v>
      </c>
      <c r="D334" s="451" t="s">
        <v>717</v>
      </c>
      <c r="E334" s="144" t="s">
        <v>1909</v>
      </c>
      <c r="F334" s="137">
        <f>75083686.32-4051249.94</f>
        <v>71032436.379999995</v>
      </c>
      <c r="G334" s="137"/>
    </row>
    <row r="335" spans="2:7" s="142" customFormat="1" ht="18" customHeight="1">
      <c r="B335" s="143"/>
      <c r="C335" s="144"/>
      <c r="D335" s="145"/>
      <c r="E335" s="144" t="s">
        <v>1910</v>
      </c>
      <c r="F335" s="137">
        <v>51758605.619999997</v>
      </c>
      <c r="G335" s="137"/>
    </row>
    <row r="336" spans="2:7" s="142" customFormat="1" ht="18" customHeight="1">
      <c r="B336" s="141"/>
      <c r="C336" s="311"/>
      <c r="D336" s="456"/>
      <c r="E336" s="311"/>
      <c r="F336" s="140"/>
      <c r="G336" s="140">
        <f>F334+F335</f>
        <v>122791042</v>
      </c>
    </row>
    <row r="337" spans="2:7" s="142" customFormat="1" ht="18" customHeight="1">
      <c r="B337" s="143"/>
      <c r="C337" s="144" t="s">
        <v>1911</v>
      </c>
      <c r="D337" s="451" t="s">
        <v>717</v>
      </c>
      <c r="E337" s="144" t="s">
        <v>1912</v>
      </c>
      <c r="F337" s="137">
        <v>223650</v>
      </c>
      <c r="G337" s="137"/>
    </row>
    <row r="338" spans="2:7" s="142" customFormat="1" ht="18" customHeight="1">
      <c r="B338" s="141"/>
      <c r="C338" s="311"/>
      <c r="D338" s="456"/>
      <c r="E338" s="311"/>
      <c r="F338" s="140"/>
      <c r="G338" s="140">
        <f>F337</f>
        <v>223650</v>
      </c>
    </row>
    <row r="339" spans="2:7" s="142" customFormat="1" ht="18" customHeight="1">
      <c r="B339" s="143"/>
      <c r="C339" s="144" t="s">
        <v>1913</v>
      </c>
      <c r="D339" s="145" t="s">
        <v>715</v>
      </c>
      <c r="E339" s="144" t="s">
        <v>1914</v>
      </c>
      <c r="F339" s="137">
        <v>771168465</v>
      </c>
      <c r="G339" s="137"/>
    </row>
    <row r="340" spans="2:7" s="142" customFormat="1" ht="18" customHeight="1">
      <c r="B340" s="141"/>
      <c r="C340" s="311"/>
      <c r="D340" s="456"/>
      <c r="E340" s="311"/>
      <c r="F340" s="140"/>
      <c r="G340" s="140">
        <f>F339</f>
        <v>771168465</v>
      </c>
    </row>
    <row r="341" spans="2:7" s="142" customFormat="1" ht="18" customHeight="1">
      <c r="B341" s="141"/>
      <c r="C341" s="144" t="s">
        <v>1915</v>
      </c>
      <c r="D341" s="145" t="s">
        <v>715</v>
      </c>
      <c r="E341" s="144" t="s">
        <v>1916</v>
      </c>
      <c r="F341" s="137">
        <f>360103488.87-0.87</f>
        <v>360103488</v>
      </c>
      <c r="G341" s="140"/>
    </row>
    <row r="342" spans="2:7" s="142" customFormat="1" ht="18" customHeight="1">
      <c r="B342" s="141"/>
      <c r="C342" s="311"/>
      <c r="D342" s="456"/>
      <c r="E342" s="311"/>
      <c r="F342" s="140"/>
      <c r="G342" s="140">
        <f>F341</f>
        <v>360103488</v>
      </c>
    </row>
    <row r="343" spans="2:7" ht="18" customHeight="1">
      <c r="B343" s="141"/>
      <c r="C343" s="311"/>
      <c r="D343" s="456" t="s">
        <v>335</v>
      </c>
      <c r="E343" s="311"/>
      <c r="F343" s="140"/>
      <c r="G343" s="140">
        <f>G158+G161+G165+G168+G177+G191+G194+G202+G205+G210+G213+G220+G229+G237+G242+G333+G336+G338+G340+G342</f>
        <v>16039174635.558001</v>
      </c>
    </row>
  </sheetData>
  <mergeCells count="4">
    <mergeCell ref="B1:G1"/>
    <mergeCell ref="B2:G2"/>
    <mergeCell ref="B3:G3"/>
    <mergeCell ref="B4:G4"/>
  </mergeCells>
  <pageMargins left="0.5" right="0.5" top="0.75" bottom="0.5" header="0.3" footer="0.5"/>
  <pageSetup paperSize="9" firstPageNumber="127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opLeftCell="A4" zoomScale="106" zoomScaleNormal="106" workbookViewId="0">
      <selection activeCell="F7" sqref="F7"/>
    </sheetView>
  </sheetViews>
  <sheetFormatPr defaultRowHeight="15"/>
  <cols>
    <col min="1" max="1" width="2.85546875" style="142" customWidth="1"/>
    <col min="2" max="2" width="7.42578125" style="170" customWidth="1"/>
    <col min="3" max="3" width="18.28515625" style="360" customWidth="1"/>
    <col min="4" max="4" width="21.28515625" style="151" customWidth="1"/>
    <col min="5" max="5" width="38.140625" style="360" customWidth="1"/>
    <col min="6" max="6" width="20.7109375" style="200" customWidth="1"/>
    <col min="7" max="7" width="19.5703125" style="200" customWidth="1"/>
    <col min="8" max="8" width="9.140625" style="142"/>
    <col min="9" max="16384" width="9.140625" style="67"/>
  </cols>
  <sheetData>
    <row r="1" spans="1:11" s="108" customFormat="1" ht="21.95" hidden="1" customHeight="1">
      <c r="A1" s="142"/>
      <c r="B1" s="599" t="s">
        <v>0</v>
      </c>
      <c r="C1" s="599"/>
      <c r="D1" s="599"/>
      <c r="E1" s="599"/>
      <c r="F1" s="599"/>
      <c r="G1" s="599"/>
      <c r="H1" s="269"/>
      <c r="I1" s="16"/>
      <c r="J1" s="16"/>
    </row>
    <row r="2" spans="1:11" s="108" customFormat="1" ht="21.95" hidden="1" customHeight="1">
      <c r="A2" s="142"/>
      <c r="B2" s="600" t="s">
        <v>1571</v>
      </c>
      <c r="C2" s="600"/>
      <c r="D2" s="600"/>
      <c r="E2" s="600"/>
      <c r="F2" s="600"/>
      <c r="G2" s="600"/>
      <c r="H2" s="270"/>
      <c r="I2" s="16"/>
      <c r="J2" s="16"/>
    </row>
    <row r="3" spans="1:11" s="108" customFormat="1" ht="21.95" hidden="1" customHeight="1">
      <c r="A3" s="142"/>
      <c r="B3" s="600" t="s">
        <v>336</v>
      </c>
      <c r="C3" s="600"/>
      <c r="D3" s="600"/>
      <c r="E3" s="600"/>
      <c r="F3" s="600"/>
      <c r="G3" s="600"/>
      <c r="H3" s="270"/>
      <c r="I3" s="109"/>
      <c r="J3" s="109"/>
      <c r="K3" s="109"/>
    </row>
    <row r="4" spans="1:11" s="108" customFormat="1" ht="21.95" customHeight="1">
      <c r="A4" s="142"/>
      <c r="B4" s="599" t="s">
        <v>2038</v>
      </c>
      <c r="C4" s="599"/>
      <c r="D4" s="599"/>
      <c r="E4" s="599"/>
      <c r="F4" s="599"/>
      <c r="G4" s="599"/>
      <c r="H4" s="269"/>
      <c r="I4" s="110"/>
      <c r="J4" s="110"/>
      <c r="K4" s="110"/>
    </row>
    <row r="5" spans="1:11" s="157" customFormat="1" ht="21.95" customHeight="1">
      <c r="A5" s="142"/>
      <c r="B5" s="269"/>
      <c r="C5" s="269"/>
      <c r="D5" s="269"/>
      <c r="E5" s="269"/>
      <c r="F5" s="269"/>
      <c r="G5" s="269"/>
      <c r="H5" s="269"/>
      <c r="I5" s="159"/>
      <c r="J5" s="159"/>
      <c r="K5" s="159"/>
    </row>
    <row r="6" spans="1:11" s="15" customFormat="1" ht="29.25" customHeight="1">
      <c r="A6" s="170"/>
      <c r="B6" s="141" t="s">
        <v>87</v>
      </c>
      <c r="C6" s="304" t="s">
        <v>830</v>
      </c>
      <c r="D6" s="266" t="s">
        <v>1363</v>
      </c>
      <c r="E6" s="304" t="s">
        <v>693</v>
      </c>
      <c r="F6" s="266" t="s">
        <v>827</v>
      </c>
      <c r="G6" s="266" t="s">
        <v>65</v>
      </c>
      <c r="H6" s="170"/>
    </row>
    <row r="7" spans="1:11" s="15" customFormat="1" ht="29.25" customHeight="1">
      <c r="A7" s="170"/>
      <c r="B7" s="143"/>
      <c r="C7" s="349"/>
      <c r="D7" s="264"/>
      <c r="E7" s="349"/>
      <c r="F7" s="466" t="s">
        <v>3</v>
      </c>
      <c r="G7" s="466" t="s">
        <v>3</v>
      </c>
      <c r="H7" s="170"/>
    </row>
    <row r="8" spans="1:11" s="27" customFormat="1" ht="29.25" customHeight="1">
      <c r="A8" s="265"/>
      <c r="B8" s="143">
        <v>1</v>
      </c>
      <c r="C8" s="349" t="s">
        <v>1366</v>
      </c>
      <c r="D8" s="264" t="s">
        <v>1364</v>
      </c>
      <c r="E8" s="349" t="s">
        <v>1558</v>
      </c>
      <c r="F8" s="331">
        <f>100000000+416898562.5+480000000+300000000+28440086.5+1735560+250000000</f>
        <v>1577074209</v>
      </c>
      <c r="G8" s="331"/>
      <c r="H8" s="265"/>
    </row>
    <row r="9" spans="1:11" s="27" customFormat="1" ht="29.25" customHeight="1">
      <c r="A9" s="265"/>
      <c r="B9" s="143"/>
      <c r="C9" s="349"/>
      <c r="D9" s="264"/>
      <c r="E9" s="349"/>
      <c r="F9" s="331"/>
      <c r="G9" s="331">
        <f>SUM(F8:F8)</f>
        <v>1577074209</v>
      </c>
      <c r="H9" s="265"/>
    </row>
    <row r="10" spans="1:11" s="30" customFormat="1" ht="29.25" customHeight="1">
      <c r="A10" s="352"/>
      <c r="B10" s="141"/>
      <c r="C10" s="305"/>
      <c r="D10" s="516"/>
      <c r="E10" s="305" t="s">
        <v>65</v>
      </c>
      <c r="F10" s="296"/>
      <c r="G10" s="296">
        <f>G9</f>
        <v>1577074209</v>
      </c>
      <c r="H10" s="352"/>
    </row>
    <row r="11" spans="1:11" ht="24.95" customHeight="1"/>
  </sheetData>
  <mergeCells count="4">
    <mergeCell ref="B1:G1"/>
    <mergeCell ref="B2:G2"/>
    <mergeCell ref="B3:G3"/>
    <mergeCell ref="B4:G4"/>
  </mergeCells>
  <pageMargins left="0.5" right="0.5" top="1" bottom="0.5" header="0.3" footer="0.5"/>
  <pageSetup paperSize="9" firstPageNumber="140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opLeftCell="B13" zoomScale="106" zoomScaleNormal="106" workbookViewId="0">
      <selection activeCell="D26" sqref="D26"/>
    </sheetView>
  </sheetViews>
  <sheetFormatPr defaultRowHeight="15"/>
  <cols>
    <col min="1" max="1" width="7" style="142" customWidth="1"/>
    <col min="2" max="2" width="9.42578125" style="170" customWidth="1"/>
    <col min="3" max="3" width="37.140625" style="360" customWidth="1"/>
    <col min="4" max="4" width="30.7109375" style="151" customWidth="1"/>
    <col min="5" max="5" width="30.7109375" style="171" customWidth="1"/>
    <col min="6" max="6" width="24" style="142" hidden="1" customWidth="1"/>
    <col min="7" max="7" width="14.5703125" style="142" hidden="1" customWidth="1"/>
    <col min="8" max="8" width="18.5703125" style="142" hidden="1" customWidth="1"/>
    <col min="9" max="9" width="0" style="142" hidden="1" customWidth="1"/>
  </cols>
  <sheetData>
    <row r="1" spans="1:11" s="108" customFormat="1" ht="21.95" hidden="1" customHeight="1">
      <c r="A1" s="142"/>
      <c r="B1" s="599" t="s">
        <v>0</v>
      </c>
      <c r="C1" s="599"/>
      <c r="D1" s="599"/>
      <c r="E1" s="599"/>
      <c r="F1" s="269"/>
      <c r="G1" s="269"/>
      <c r="H1" s="269"/>
      <c r="I1" s="171"/>
      <c r="J1" s="16"/>
    </row>
    <row r="2" spans="1:11" s="108" customFormat="1" ht="21.95" hidden="1" customHeight="1">
      <c r="A2" s="142"/>
      <c r="B2" s="600" t="s">
        <v>1571</v>
      </c>
      <c r="C2" s="600"/>
      <c r="D2" s="600"/>
      <c r="E2" s="600"/>
      <c r="F2" s="270"/>
      <c r="G2" s="270"/>
      <c r="H2" s="270"/>
      <c r="I2" s="171"/>
      <c r="J2" s="16"/>
    </row>
    <row r="3" spans="1:11" s="108" customFormat="1" ht="21.95" hidden="1" customHeight="1">
      <c r="A3" s="142"/>
      <c r="B3" s="600" t="s">
        <v>336</v>
      </c>
      <c r="C3" s="600"/>
      <c r="D3" s="600"/>
      <c r="E3" s="600"/>
      <c r="F3" s="270"/>
      <c r="G3" s="270"/>
      <c r="H3" s="270"/>
      <c r="I3" s="298"/>
      <c r="J3" s="109"/>
      <c r="K3" s="109"/>
    </row>
    <row r="4" spans="1:11" s="108" customFormat="1" ht="21.95" customHeight="1">
      <c r="A4" s="142"/>
      <c r="B4" s="599" t="s">
        <v>2039</v>
      </c>
      <c r="C4" s="599"/>
      <c r="D4" s="599"/>
      <c r="E4" s="599"/>
      <c r="F4" s="269"/>
      <c r="G4" s="467" t="s">
        <v>1523</v>
      </c>
      <c r="H4" s="269"/>
      <c r="I4" s="299"/>
      <c r="J4" s="110"/>
      <c r="K4" s="110"/>
    </row>
    <row r="5" spans="1:11" ht="23.1" customHeight="1">
      <c r="B5" s="179" t="s">
        <v>87</v>
      </c>
      <c r="C5" s="190" t="s">
        <v>693</v>
      </c>
      <c r="D5" s="179" t="s">
        <v>1597</v>
      </c>
      <c r="E5" s="179" t="s">
        <v>1476</v>
      </c>
      <c r="G5" s="118" t="s">
        <v>1524</v>
      </c>
      <c r="H5" s="331">
        <v>5818925332.8500004</v>
      </c>
    </row>
    <row r="6" spans="1:11" ht="23.1" customHeight="1">
      <c r="B6" s="179"/>
      <c r="C6" s="468"/>
      <c r="D6" s="182" t="s">
        <v>1458</v>
      </c>
      <c r="E6" s="182" t="s">
        <v>1458</v>
      </c>
      <c r="G6" s="142" t="s">
        <v>1525</v>
      </c>
      <c r="H6" s="275">
        <f>'SALARIES '!F102</f>
        <v>17238668704.270004</v>
      </c>
    </row>
    <row r="7" spans="1:11" s="16" customFormat="1" ht="23.1" customHeight="1">
      <c r="A7" s="171"/>
      <c r="B7" s="143">
        <v>1</v>
      </c>
      <c r="C7" s="349" t="s">
        <v>948</v>
      </c>
      <c r="D7" s="469">
        <f>'SALARIES (CASH)'!F104</f>
        <v>1767651852.1800003</v>
      </c>
      <c r="E7" s="264">
        <v>1265750692.7</v>
      </c>
      <c r="F7" s="171"/>
      <c r="G7" s="171" t="s">
        <v>728</v>
      </c>
      <c r="H7" s="470">
        <f>'SALARIES (CASH)'!F101</f>
        <v>18952641967.07</v>
      </c>
      <c r="I7" s="171"/>
    </row>
    <row r="8" spans="1:11" s="16" customFormat="1" ht="23.1" customHeight="1">
      <c r="A8" s="171"/>
      <c r="B8" s="143">
        <v>2</v>
      </c>
      <c r="C8" s="211" t="s">
        <v>1990</v>
      </c>
      <c r="D8" s="278">
        <v>143278818.21000001</v>
      </c>
      <c r="E8" s="264">
        <v>0</v>
      </c>
      <c r="F8" s="171"/>
      <c r="G8" s="171" t="s">
        <v>1526</v>
      </c>
      <c r="H8" s="470">
        <f>H5+H6-H7</f>
        <v>4104952070.0500031</v>
      </c>
      <c r="I8" s="171"/>
    </row>
    <row r="9" spans="1:11" s="14" customFormat="1" ht="23.1" customHeight="1">
      <c r="A9" s="301"/>
      <c r="B9" s="141"/>
      <c r="C9" s="442" t="s">
        <v>65</v>
      </c>
      <c r="D9" s="385">
        <f>SUM(D7:D8)</f>
        <v>1910930670.3900003</v>
      </c>
      <c r="E9" s="385">
        <f>SUM(E7:E8)</f>
        <v>1265750692.7</v>
      </c>
      <c r="F9" s="301"/>
      <c r="G9" s="301"/>
      <c r="H9" s="301"/>
      <c r="I9" s="301"/>
    </row>
    <row r="10" spans="1:11" s="16" customFormat="1" ht="27" customHeight="1">
      <c r="A10" s="171"/>
      <c r="B10" s="618" t="s">
        <v>2040</v>
      </c>
      <c r="C10" s="618"/>
      <c r="D10" s="618"/>
      <c r="E10" s="618"/>
      <c r="F10" s="171"/>
      <c r="G10" s="171"/>
      <c r="H10" s="470">
        <f>E7-D7</f>
        <v>-501901159.48000026</v>
      </c>
      <c r="I10" s="171"/>
    </row>
    <row r="11" spans="1:11" s="16" customFormat="1" ht="23.1" customHeight="1">
      <c r="A11" s="171"/>
      <c r="B11" s="179" t="s">
        <v>87</v>
      </c>
      <c r="C11" s="190" t="s">
        <v>693</v>
      </c>
      <c r="D11" s="179" t="s">
        <v>1597</v>
      </c>
      <c r="E11" s="179" t="s">
        <v>1476</v>
      </c>
      <c r="F11" s="171"/>
      <c r="G11" s="171"/>
      <c r="H11" s="171"/>
      <c r="I11" s="171"/>
    </row>
    <row r="12" spans="1:11" s="16" customFormat="1" ht="23.1" customHeight="1">
      <c r="A12" s="171"/>
      <c r="B12" s="179"/>
      <c r="C12" s="468"/>
      <c r="D12" s="182" t="s">
        <v>1458</v>
      </c>
      <c r="E12" s="182" t="s">
        <v>1458</v>
      </c>
      <c r="F12" s="171"/>
      <c r="G12" s="171" t="s">
        <v>687</v>
      </c>
      <c r="H12" s="171"/>
      <c r="I12" s="171"/>
    </row>
    <row r="13" spans="1:11" s="16" customFormat="1" ht="23.1" customHeight="1">
      <c r="A13" s="171"/>
      <c r="B13" s="143">
        <v>1</v>
      </c>
      <c r="C13" s="57" t="s">
        <v>13</v>
      </c>
      <c r="D13" s="384">
        <f>H8</f>
        <v>4104952070.0500031</v>
      </c>
      <c r="E13" s="331">
        <v>5818925332.8500004</v>
      </c>
      <c r="F13" s="171"/>
      <c r="G13" s="171" t="s">
        <v>1524</v>
      </c>
      <c r="H13" s="147">
        <f>E14</f>
        <v>1519119649.4000001</v>
      </c>
      <c r="I13" s="171"/>
    </row>
    <row r="14" spans="1:11" s="16" customFormat="1" ht="23.1" customHeight="1">
      <c r="A14" s="171"/>
      <c r="B14" s="143">
        <v>2</v>
      </c>
      <c r="C14" s="57" t="s">
        <v>949</v>
      </c>
      <c r="D14" s="384">
        <f>H16</f>
        <v>1206843078.9200001</v>
      </c>
      <c r="E14" s="331">
        <v>1519119649.4000001</v>
      </c>
      <c r="F14" s="171"/>
      <c r="G14" s="171" t="s">
        <v>1525</v>
      </c>
      <c r="H14" s="147">
        <v>4728073543.5200005</v>
      </c>
      <c r="I14" s="171"/>
    </row>
    <row r="15" spans="1:11" s="16" customFormat="1" ht="23.1" customHeight="1">
      <c r="A15" s="171"/>
      <c r="B15" s="143">
        <v>3</v>
      </c>
      <c r="C15" s="350" t="s">
        <v>951</v>
      </c>
      <c r="D15" s="384">
        <f>H22</f>
        <v>78901417.120000005</v>
      </c>
      <c r="E15" s="331">
        <v>64505487.359999999</v>
      </c>
      <c r="F15" s="171"/>
      <c r="G15" s="171" t="s">
        <v>728</v>
      </c>
      <c r="H15" s="147">
        <v>5040350114</v>
      </c>
      <c r="I15" s="171"/>
    </row>
    <row r="16" spans="1:11" s="16" customFormat="1" ht="23.1" customHeight="1">
      <c r="A16" s="171"/>
      <c r="B16" s="143">
        <v>4</v>
      </c>
      <c r="C16" s="350" t="s">
        <v>950</v>
      </c>
      <c r="D16" s="384">
        <f>H28</f>
        <v>12967804712.1</v>
      </c>
      <c r="E16" s="278">
        <v>10434373386.08</v>
      </c>
      <c r="F16" s="171"/>
      <c r="G16" s="171" t="s">
        <v>1526</v>
      </c>
      <c r="H16" s="147">
        <f>H13+H14-H15</f>
        <v>1206843078.9200001</v>
      </c>
      <c r="I16" s="171"/>
    </row>
    <row r="17" spans="1:9" s="20" customFormat="1" ht="23.1" customHeight="1">
      <c r="A17" s="149"/>
      <c r="B17" s="141"/>
      <c r="C17" s="354" t="s">
        <v>65</v>
      </c>
      <c r="D17" s="385">
        <f>SUM(D13:D16)</f>
        <v>18358501278.190002</v>
      </c>
      <c r="E17" s="385">
        <f>SUM(E13:E16)</f>
        <v>17836923855.689999</v>
      </c>
      <c r="F17" s="149"/>
      <c r="G17" s="149"/>
      <c r="H17" s="149"/>
      <c r="I17" s="149"/>
    </row>
    <row r="18" spans="1:9" s="17" customFormat="1" ht="28.5" customHeight="1">
      <c r="A18" s="251"/>
      <c r="B18" s="618" t="s">
        <v>2041</v>
      </c>
      <c r="C18" s="618"/>
      <c r="D18" s="618"/>
      <c r="E18" s="618"/>
      <c r="F18" s="251"/>
      <c r="G18" s="251" t="s">
        <v>1527</v>
      </c>
      <c r="H18" s="251"/>
      <c r="I18" s="251"/>
    </row>
    <row r="19" spans="1:9" s="17" customFormat="1" ht="23.1" customHeight="1">
      <c r="A19" s="251"/>
      <c r="B19" s="179" t="s">
        <v>87</v>
      </c>
      <c r="C19" s="190" t="s">
        <v>693</v>
      </c>
      <c r="D19" s="179" t="s">
        <v>1597</v>
      </c>
      <c r="E19" s="179" t="s">
        <v>1476</v>
      </c>
      <c r="F19" s="251"/>
      <c r="G19" s="251" t="s">
        <v>1524</v>
      </c>
      <c r="H19" s="148">
        <f>E15</f>
        <v>64505487.359999999</v>
      </c>
      <c r="I19" s="251"/>
    </row>
    <row r="20" spans="1:9" s="17" customFormat="1" ht="23.1" customHeight="1">
      <c r="A20" s="251"/>
      <c r="B20" s="179"/>
      <c r="C20" s="468"/>
      <c r="D20" s="182" t="s">
        <v>1458</v>
      </c>
      <c r="E20" s="182" t="s">
        <v>1458</v>
      </c>
      <c r="F20" s="251"/>
      <c r="G20" s="251" t="s">
        <v>1525</v>
      </c>
      <c r="H20" s="148">
        <v>122395929.76000001</v>
      </c>
      <c r="I20" s="251"/>
    </row>
    <row r="21" spans="1:9" s="17" customFormat="1" ht="23.1" customHeight="1">
      <c r="A21" s="251"/>
      <c r="B21" s="143">
        <v>1</v>
      </c>
      <c r="C21" s="349" t="s">
        <v>952</v>
      </c>
      <c r="D21" s="278">
        <f>H34</f>
        <v>0</v>
      </c>
      <c r="E21" s="331">
        <v>94850519.379999995</v>
      </c>
      <c r="F21" s="251"/>
      <c r="G21" s="251" t="s">
        <v>728</v>
      </c>
      <c r="H21" s="148">
        <v>108000000</v>
      </c>
      <c r="I21" s="251"/>
    </row>
    <row r="22" spans="1:9" s="17" customFormat="1" ht="23.1" customHeight="1">
      <c r="A22" s="251"/>
      <c r="B22" s="143">
        <v>2</v>
      </c>
      <c r="C22" s="349" t="s">
        <v>42</v>
      </c>
      <c r="D22" s="278">
        <f>H46</f>
        <v>0</v>
      </c>
      <c r="E22" s="331">
        <v>113597650</v>
      </c>
      <c r="F22" s="251"/>
      <c r="G22" s="251" t="s">
        <v>1526</v>
      </c>
      <c r="H22" s="148">
        <f>H19+H20-H21</f>
        <v>78901417.120000005</v>
      </c>
      <c r="I22" s="251"/>
    </row>
    <row r="23" spans="1:9" s="17" customFormat="1" ht="23.1" customHeight="1">
      <c r="A23" s="251"/>
      <c r="B23" s="143">
        <v>3</v>
      </c>
      <c r="C23" s="349" t="s">
        <v>953</v>
      </c>
      <c r="D23" s="278">
        <f>H40</f>
        <v>4047798841.1499996</v>
      </c>
      <c r="E23" s="331">
        <v>4334248241.9799995</v>
      </c>
      <c r="F23" s="251"/>
      <c r="G23" s="251"/>
      <c r="H23" s="251"/>
      <c r="I23" s="251"/>
    </row>
    <row r="24" spans="1:9" s="20" customFormat="1" ht="23.1" customHeight="1">
      <c r="A24" s="149"/>
      <c r="B24" s="141"/>
      <c r="C24" s="354" t="s">
        <v>65</v>
      </c>
      <c r="D24" s="385">
        <f>SUM(D21:D23)</f>
        <v>4047798841.1499996</v>
      </c>
      <c r="E24" s="385">
        <f>SUM(E21:E23)</f>
        <v>4542696411.3599997</v>
      </c>
      <c r="F24" s="149"/>
      <c r="G24" s="149" t="s">
        <v>688</v>
      </c>
      <c r="H24" s="149"/>
      <c r="I24" s="149"/>
    </row>
    <row r="25" spans="1:9" s="15" customFormat="1" ht="18" customHeight="1">
      <c r="A25" s="170"/>
      <c r="B25" s="252"/>
      <c r="C25" s="439"/>
      <c r="D25" s="440"/>
      <c r="E25" s="251"/>
      <c r="F25" s="142"/>
      <c r="G25" s="268" t="s">
        <v>1524</v>
      </c>
      <c r="H25" s="150">
        <f>E16</f>
        <v>10434373386.08</v>
      </c>
      <c r="I25" s="170"/>
    </row>
    <row r="26" spans="1:9" s="15" customFormat="1" ht="18" customHeight="1">
      <c r="A26" s="170"/>
      <c r="B26" s="252"/>
      <c r="C26" s="439"/>
      <c r="D26" s="440"/>
      <c r="E26" s="251"/>
      <c r="F26" s="142"/>
      <c r="G26" s="268" t="s">
        <v>1525</v>
      </c>
      <c r="H26" s="151">
        <v>2765021112.1100001</v>
      </c>
      <c r="I26" s="170"/>
    </row>
    <row r="27" spans="1:9" s="15" customFormat="1" ht="18" customHeight="1">
      <c r="A27" s="170"/>
      <c r="B27" s="252"/>
      <c r="C27" s="439"/>
      <c r="D27" s="440"/>
      <c r="E27" s="251"/>
      <c r="F27" s="142"/>
      <c r="G27" s="268" t="s">
        <v>728</v>
      </c>
      <c r="H27" s="151">
        <v>231589786.09</v>
      </c>
      <c r="I27" s="170"/>
    </row>
    <row r="28" spans="1:9" s="15" customFormat="1" ht="18" customHeight="1">
      <c r="A28" s="170"/>
      <c r="B28" s="252"/>
      <c r="C28" s="439"/>
      <c r="D28" s="440"/>
      <c r="E28" s="251"/>
      <c r="F28" s="142"/>
      <c r="G28" s="268" t="s">
        <v>1526</v>
      </c>
      <c r="H28" s="150">
        <f>H25+H26-H27</f>
        <v>12967804712.1</v>
      </c>
      <c r="I28" s="170"/>
    </row>
    <row r="29" spans="1:9" s="15" customFormat="1" ht="18" customHeight="1">
      <c r="A29" s="170"/>
      <c r="B29" s="252"/>
      <c r="C29" s="439"/>
      <c r="D29" s="440"/>
      <c r="E29" s="251"/>
      <c r="F29" s="142"/>
      <c r="G29" s="170"/>
      <c r="H29" s="170"/>
      <c r="I29" s="170"/>
    </row>
    <row r="30" spans="1:9" s="15" customFormat="1" ht="18" customHeight="1">
      <c r="A30" s="170"/>
      <c r="B30" s="252"/>
      <c r="C30" s="439"/>
      <c r="D30" s="440"/>
      <c r="E30" s="251"/>
      <c r="F30" s="142"/>
      <c r="G30" s="170" t="s">
        <v>1334</v>
      </c>
      <c r="H30" s="170"/>
      <c r="I30" s="170"/>
    </row>
    <row r="31" spans="1:9" s="15" customFormat="1" ht="18" customHeight="1">
      <c r="A31" s="170"/>
      <c r="B31" s="252"/>
      <c r="C31" s="439"/>
      <c r="D31" s="440"/>
      <c r="E31" s="251"/>
      <c r="F31" s="142"/>
      <c r="G31" s="268" t="s">
        <v>1524</v>
      </c>
      <c r="H31" s="151">
        <f>E21</f>
        <v>94850519.379999995</v>
      </c>
      <c r="I31" s="170"/>
    </row>
    <row r="32" spans="1:9" s="15" customFormat="1" ht="18" customHeight="1">
      <c r="A32" s="170"/>
      <c r="B32" s="252"/>
      <c r="C32" s="439"/>
      <c r="D32" s="440"/>
      <c r="E32" s="251"/>
      <c r="F32" s="142"/>
      <c r="G32" s="268" t="s">
        <v>1525</v>
      </c>
      <c r="H32" s="151">
        <v>2520605780.4000001</v>
      </c>
      <c r="I32" s="170"/>
    </row>
    <row r="33" spans="1:9" s="15" customFormat="1" ht="18" customHeight="1">
      <c r="A33" s="170"/>
      <c r="B33" s="252"/>
      <c r="C33" s="439"/>
      <c r="D33" s="440"/>
      <c r="E33" s="251"/>
      <c r="F33" s="142"/>
      <c r="G33" s="268" t="s">
        <v>728</v>
      </c>
      <c r="H33" s="151">
        <v>2615456299.7800002</v>
      </c>
      <c r="I33" s="170"/>
    </row>
    <row r="34" spans="1:9" s="15" customFormat="1" ht="18" customHeight="1">
      <c r="A34" s="170"/>
      <c r="B34" s="252"/>
      <c r="C34" s="439"/>
      <c r="D34" s="440"/>
      <c r="E34" s="251"/>
      <c r="F34" s="142"/>
      <c r="G34" s="268" t="s">
        <v>1526</v>
      </c>
      <c r="H34" s="151">
        <f>H31+H32-H33</f>
        <v>0</v>
      </c>
      <c r="I34" s="170"/>
    </row>
    <row r="35" spans="1:9" s="15" customFormat="1" ht="18" customHeight="1">
      <c r="A35" s="170"/>
      <c r="B35" s="252"/>
      <c r="C35" s="439"/>
      <c r="D35" s="440"/>
      <c r="E35" s="251"/>
      <c r="F35" s="142"/>
      <c r="G35" s="170"/>
      <c r="H35" s="170"/>
      <c r="I35" s="170"/>
    </row>
    <row r="36" spans="1:9" s="15" customFormat="1" ht="18" customHeight="1">
      <c r="A36" s="170"/>
      <c r="B36" s="252"/>
      <c r="C36" s="439"/>
      <c r="D36" s="440"/>
      <c r="E36" s="251"/>
      <c r="F36" s="142"/>
      <c r="G36" s="170" t="s">
        <v>1331</v>
      </c>
      <c r="H36" s="170"/>
      <c r="I36" s="170"/>
    </row>
    <row r="37" spans="1:9" s="15" customFormat="1" ht="18" customHeight="1">
      <c r="A37" s="170"/>
      <c r="B37" s="252"/>
      <c r="C37" s="439"/>
      <c r="D37" s="440"/>
      <c r="E37" s="251"/>
      <c r="F37" s="142"/>
      <c r="G37" s="268" t="s">
        <v>1524</v>
      </c>
      <c r="H37" s="151">
        <f>E23</f>
        <v>4334248241.9799995</v>
      </c>
      <c r="I37" s="170"/>
    </row>
    <row r="38" spans="1:9" s="15" customFormat="1" ht="18" customHeight="1">
      <c r="A38" s="170"/>
      <c r="B38" s="252"/>
      <c r="C38" s="439"/>
      <c r="D38" s="440"/>
      <c r="E38" s="251"/>
      <c r="F38" s="142"/>
      <c r="G38" s="268" t="s">
        <v>1525</v>
      </c>
      <c r="H38" s="151">
        <v>14308928927.27</v>
      </c>
      <c r="I38" s="170"/>
    </row>
    <row r="39" spans="1:9" s="15" customFormat="1" ht="18" customHeight="1">
      <c r="A39" s="170"/>
      <c r="B39" s="252"/>
      <c r="C39" s="439"/>
      <c r="D39" s="440"/>
      <c r="E39" s="251"/>
      <c r="F39" s="142"/>
      <c r="G39" s="268" t="s">
        <v>728</v>
      </c>
      <c r="H39" s="151">
        <v>14595378328.1</v>
      </c>
      <c r="I39" s="170"/>
    </row>
    <row r="40" spans="1:9" s="15" customFormat="1" ht="24.95" customHeight="1">
      <c r="A40" s="170"/>
      <c r="B40" s="252"/>
      <c r="C40" s="439"/>
      <c r="D40" s="440"/>
      <c r="E40" s="251"/>
      <c r="F40" s="142"/>
      <c r="G40" s="268" t="s">
        <v>1526</v>
      </c>
      <c r="H40" s="151">
        <f>H37+H38-H39</f>
        <v>4047798841.1499996</v>
      </c>
      <c r="I40" s="170"/>
    </row>
    <row r="41" spans="1:9" s="15" customFormat="1" ht="24.95" customHeight="1">
      <c r="A41" s="170"/>
      <c r="B41" s="170"/>
      <c r="C41" s="360"/>
      <c r="D41" s="151"/>
      <c r="E41" s="171"/>
      <c r="F41" s="142"/>
      <c r="G41" s="170"/>
      <c r="H41" s="170"/>
      <c r="I41" s="170"/>
    </row>
    <row r="42" spans="1:9" s="15" customFormat="1" ht="24.95" customHeight="1">
      <c r="A42" s="170"/>
      <c r="B42" s="170"/>
      <c r="C42" s="360"/>
      <c r="D42" s="151"/>
      <c r="E42" s="171"/>
      <c r="F42" s="142"/>
      <c r="G42" s="170" t="s">
        <v>1330</v>
      </c>
      <c r="H42" s="170"/>
      <c r="I42" s="170"/>
    </row>
    <row r="43" spans="1:9" s="15" customFormat="1" ht="24.95" customHeight="1">
      <c r="A43" s="170"/>
      <c r="B43" s="170"/>
      <c r="C43" s="360"/>
      <c r="D43" s="151"/>
      <c r="E43" s="171"/>
      <c r="F43" s="142"/>
      <c r="G43" s="268" t="s">
        <v>1524</v>
      </c>
      <c r="H43" s="151">
        <v>113597650</v>
      </c>
      <c r="I43" s="170"/>
    </row>
    <row r="44" spans="1:9" s="15" customFormat="1" ht="24.95" customHeight="1">
      <c r="A44" s="170"/>
      <c r="B44" s="170"/>
      <c r="C44" s="360"/>
      <c r="D44" s="151"/>
      <c r="E44" s="171"/>
      <c r="F44" s="142"/>
      <c r="G44" s="268" t="s">
        <v>1525</v>
      </c>
      <c r="H44" s="495">
        <v>12016075303.719999</v>
      </c>
      <c r="I44" s="170"/>
    </row>
    <row r="45" spans="1:9" s="15" customFormat="1" ht="24.95" customHeight="1">
      <c r="A45" s="170"/>
      <c r="B45" s="170"/>
      <c r="C45" s="360"/>
      <c r="D45" s="151"/>
      <c r="E45" s="171"/>
      <c r="F45" s="142"/>
      <c r="G45" s="268" t="s">
        <v>728</v>
      </c>
      <c r="H45" s="495">
        <v>12129672953.719999</v>
      </c>
      <c r="I45" s="170"/>
    </row>
    <row r="46" spans="1:9" s="15" customFormat="1" ht="24.95" customHeight="1">
      <c r="A46" s="170"/>
      <c r="B46" s="170"/>
      <c r="C46" s="360"/>
      <c r="D46" s="151"/>
      <c r="E46" s="171"/>
      <c r="F46" s="142"/>
      <c r="G46" s="268" t="s">
        <v>1526</v>
      </c>
      <c r="H46" s="495">
        <f>H43+H44-H45</f>
        <v>0</v>
      </c>
      <c r="I46" s="170"/>
    </row>
    <row r="48" spans="1:9">
      <c r="H48" s="191"/>
    </row>
  </sheetData>
  <mergeCells count="6">
    <mergeCell ref="B18:E18"/>
    <mergeCell ref="B1:E1"/>
    <mergeCell ref="B2:E2"/>
    <mergeCell ref="B3:E3"/>
    <mergeCell ref="B4:E4"/>
    <mergeCell ref="B10:E10"/>
  </mergeCells>
  <pageMargins left="0.5" right="0.5" top="0.75" bottom="0.5" header="0.3" footer="0.5"/>
  <pageSetup paperSize="9" firstPageNumber="141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opLeftCell="A19" workbookViewId="0">
      <selection activeCell="J21" sqref="J21"/>
    </sheetView>
  </sheetViews>
  <sheetFormatPr defaultRowHeight="15"/>
  <cols>
    <col min="1" max="1" width="2.28515625" style="142" customWidth="1"/>
    <col min="2" max="2" width="4.5703125" style="191" customWidth="1"/>
    <col min="3" max="3" width="16.42578125" style="142" customWidth="1"/>
    <col min="4" max="4" width="11.42578125" style="142" customWidth="1"/>
    <col min="5" max="5" width="11.85546875" style="142" customWidth="1"/>
    <col min="6" max="6" width="11.42578125" style="142" customWidth="1"/>
    <col min="7" max="7" width="12.28515625" style="142" customWidth="1"/>
    <col min="8" max="8" width="10.5703125" style="142" customWidth="1"/>
    <col min="9" max="9" width="9.5703125" style="142" customWidth="1"/>
    <col min="10" max="10" width="10.85546875" style="142" customWidth="1"/>
    <col min="11" max="11" width="13" style="142" customWidth="1"/>
    <col min="12" max="12" width="14.140625" style="142" customWidth="1"/>
    <col min="13" max="13" width="15.140625" style="427" hidden="1" customWidth="1"/>
    <col min="14" max="16" width="9.140625" style="142"/>
  </cols>
  <sheetData>
    <row r="1" spans="1:16" s="108" customFormat="1" ht="21.95" hidden="1" customHeight="1">
      <c r="A1" s="142"/>
      <c r="B1" s="599" t="s">
        <v>0</v>
      </c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142"/>
      <c r="O1" s="142"/>
      <c r="P1" s="142"/>
    </row>
    <row r="2" spans="1:16" s="108" customFormat="1" ht="21.95" hidden="1" customHeight="1">
      <c r="A2" s="142"/>
      <c r="B2" s="600" t="s">
        <v>1571</v>
      </c>
      <c r="C2" s="600"/>
      <c r="D2" s="600"/>
      <c r="E2" s="600"/>
      <c r="F2" s="600"/>
      <c r="G2" s="600"/>
      <c r="H2" s="600"/>
      <c r="I2" s="600"/>
      <c r="J2" s="600"/>
      <c r="K2" s="600"/>
      <c r="L2" s="600"/>
      <c r="M2" s="600"/>
      <c r="N2" s="142"/>
      <c r="O2" s="142"/>
      <c r="P2" s="142"/>
    </row>
    <row r="3" spans="1:16" s="108" customFormat="1" ht="21.95" hidden="1" customHeight="1">
      <c r="A3" s="142"/>
      <c r="B3" s="600" t="s">
        <v>336</v>
      </c>
      <c r="C3" s="600"/>
      <c r="D3" s="600"/>
      <c r="E3" s="600"/>
      <c r="F3" s="600"/>
      <c r="G3" s="600"/>
      <c r="H3" s="600"/>
      <c r="I3" s="600"/>
      <c r="J3" s="600"/>
      <c r="K3" s="600"/>
      <c r="L3" s="600"/>
      <c r="M3" s="600"/>
      <c r="N3" s="142"/>
      <c r="O3" s="142"/>
      <c r="P3" s="142"/>
    </row>
    <row r="4" spans="1:16" s="108" customFormat="1" ht="21.95" customHeight="1">
      <c r="A4" s="142"/>
      <c r="B4" s="599" t="s">
        <v>2042</v>
      </c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142"/>
      <c r="O4" s="142"/>
      <c r="P4" s="142"/>
    </row>
    <row r="5" spans="1:16" ht="12.75" customHeight="1">
      <c r="B5" s="300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419"/>
    </row>
    <row r="6" spans="1:16" s="40" customFormat="1" ht="35.25" customHeight="1">
      <c r="A6" s="406"/>
      <c r="B6" s="371" t="s">
        <v>87</v>
      </c>
      <c r="C6" s="371" t="s">
        <v>695</v>
      </c>
      <c r="D6" s="371" t="s">
        <v>1445</v>
      </c>
      <c r="E6" s="371" t="s">
        <v>1994</v>
      </c>
      <c r="F6" s="371" t="s">
        <v>700</v>
      </c>
      <c r="G6" s="371" t="s">
        <v>701</v>
      </c>
      <c r="H6" s="371" t="s">
        <v>702</v>
      </c>
      <c r="I6" s="371" t="s">
        <v>703</v>
      </c>
      <c r="J6" s="371" t="s">
        <v>704</v>
      </c>
      <c r="K6" s="371" t="s">
        <v>1450</v>
      </c>
      <c r="L6" s="371" t="s">
        <v>705</v>
      </c>
      <c r="M6" s="371" t="s">
        <v>1995</v>
      </c>
      <c r="N6" s="406"/>
      <c r="O6" s="406"/>
      <c r="P6" s="406"/>
    </row>
    <row r="7" spans="1:16" s="1" customFormat="1" ht="24.95" customHeight="1">
      <c r="A7" s="191"/>
      <c r="B7" s="320" t="s">
        <v>75</v>
      </c>
      <c r="C7" s="320" t="s">
        <v>76</v>
      </c>
      <c r="D7" s="320" t="s">
        <v>77</v>
      </c>
      <c r="E7" s="320" t="s">
        <v>85</v>
      </c>
      <c r="F7" s="320" t="s">
        <v>954</v>
      </c>
      <c r="G7" s="320" t="s">
        <v>1447</v>
      </c>
      <c r="H7" s="320" t="s">
        <v>697</v>
      </c>
      <c r="I7" s="320" t="s">
        <v>955</v>
      </c>
      <c r="J7" s="320" t="s">
        <v>1448</v>
      </c>
      <c r="K7" s="320" t="s">
        <v>2004</v>
      </c>
      <c r="L7" s="320" t="s">
        <v>1451</v>
      </c>
      <c r="M7" s="320" t="s">
        <v>1455</v>
      </c>
      <c r="N7" s="191"/>
      <c r="O7" s="191"/>
      <c r="P7" s="191"/>
    </row>
    <row r="8" spans="1:16" ht="24.95" customHeight="1">
      <c r="B8" s="320"/>
      <c r="C8" s="407"/>
      <c r="D8" s="408" t="s">
        <v>698</v>
      </c>
      <c r="E8" s="408" t="s">
        <v>698</v>
      </c>
      <c r="F8" s="408" t="s">
        <v>698</v>
      </c>
      <c r="G8" s="408" t="s">
        <v>698</v>
      </c>
      <c r="H8" s="408" t="s">
        <v>698</v>
      </c>
      <c r="I8" s="408" t="s">
        <v>698</v>
      </c>
      <c r="J8" s="408" t="s">
        <v>698</v>
      </c>
      <c r="K8" s="420" t="s">
        <v>3</v>
      </c>
      <c r="L8" s="408" t="s">
        <v>698</v>
      </c>
      <c r="M8" s="420" t="s">
        <v>3</v>
      </c>
    </row>
    <row r="9" spans="1:16" s="48" customFormat="1" ht="30" customHeight="1">
      <c r="A9" s="303"/>
      <c r="B9" s="332">
        <v>1</v>
      </c>
      <c r="C9" s="496" t="s">
        <v>1993</v>
      </c>
      <c r="D9" s="507">
        <v>9845451</v>
      </c>
      <c r="E9" s="498">
        <v>9538840.2699999996</v>
      </c>
      <c r="F9" s="497"/>
      <c r="G9" s="409">
        <f>E9+F9</f>
        <v>9538840.2699999996</v>
      </c>
      <c r="H9" s="507">
        <v>96351.93</v>
      </c>
      <c r="I9" s="497">
        <v>0</v>
      </c>
      <c r="J9" s="409">
        <f t="shared" ref="J9:J19" si="0">I9+H9</f>
        <v>96351.93</v>
      </c>
      <c r="K9" s="499">
        <v>15512805</v>
      </c>
      <c r="L9" s="500">
        <f>G9-H9</f>
        <v>9442488.3399999999</v>
      </c>
      <c r="M9" s="500">
        <f>L9*306</f>
        <v>2889401432.04</v>
      </c>
      <c r="N9" s="303"/>
      <c r="O9" s="303"/>
      <c r="P9" s="303"/>
    </row>
    <row r="10" spans="1:16" ht="30" customHeight="1">
      <c r="B10" s="332">
        <v>2</v>
      </c>
      <c r="C10" s="165" t="s">
        <v>962</v>
      </c>
      <c r="D10" s="409">
        <v>3914028.19</v>
      </c>
      <c r="E10" s="409">
        <v>3831653.65</v>
      </c>
      <c r="F10" s="409">
        <v>0</v>
      </c>
      <c r="G10" s="409">
        <f t="shared" ref="G10:G19" si="1">E10+F10</f>
        <v>3831653.65</v>
      </c>
      <c r="H10" s="409">
        <v>589485.18999999994</v>
      </c>
      <c r="I10" s="409">
        <v>27632.12</v>
      </c>
      <c r="J10" s="409">
        <f t="shared" si="0"/>
        <v>617117.30999999994</v>
      </c>
      <c r="K10" s="409">
        <v>193854921.00999999</v>
      </c>
      <c r="L10" s="500">
        <f t="shared" ref="L10:L19" si="2">G10-H10</f>
        <v>3242168.46</v>
      </c>
      <c r="M10" s="500">
        <f t="shared" ref="M10:M19" si="3">L10*306</f>
        <v>992103548.75999999</v>
      </c>
    </row>
    <row r="11" spans="1:16" ht="30" customHeight="1">
      <c r="B11" s="332">
        <v>3</v>
      </c>
      <c r="C11" s="165" t="s">
        <v>966</v>
      </c>
      <c r="D11" s="409">
        <v>8823110.7000000011</v>
      </c>
      <c r="E11" s="409">
        <v>8637419.8000000007</v>
      </c>
      <c r="F11" s="409">
        <v>0</v>
      </c>
      <c r="G11" s="409">
        <f t="shared" si="1"/>
        <v>8637419.8000000007</v>
      </c>
      <c r="H11" s="409">
        <v>265201.2</v>
      </c>
      <c r="I11" s="409">
        <v>64283.4</v>
      </c>
      <c r="J11" s="409">
        <f t="shared" si="0"/>
        <v>329484.60000000003</v>
      </c>
      <c r="K11" s="409">
        <v>101514979.81999999</v>
      </c>
      <c r="L11" s="500">
        <f t="shared" si="2"/>
        <v>8372218.6000000006</v>
      </c>
      <c r="M11" s="500">
        <f t="shared" si="3"/>
        <v>2561898891.6000004</v>
      </c>
    </row>
    <row r="12" spans="1:16" ht="30" customHeight="1">
      <c r="B12" s="332">
        <v>4</v>
      </c>
      <c r="C12" s="165" t="s">
        <v>963</v>
      </c>
      <c r="D12" s="409">
        <v>2774322.65</v>
      </c>
      <c r="E12" s="409">
        <v>2774322.65</v>
      </c>
      <c r="F12" s="409">
        <v>0</v>
      </c>
      <c r="G12" s="409">
        <f t="shared" si="1"/>
        <v>2774322.65</v>
      </c>
      <c r="H12" s="409">
        <v>125000</v>
      </c>
      <c r="I12" s="409">
        <v>20573.04</v>
      </c>
      <c r="J12" s="409">
        <f t="shared" si="0"/>
        <v>145573.04</v>
      </c>
      <c r="K12" s="409">
        <v>44548948.030000001</v>
      </c>
      <c r="L12" s="500">
        <f t="shared" si="2"/>
        <v>2649322.65</v>
      </c>
      <c r="M12" s="500">
        <f t="shared" si="3"/>
        <v>810692730.89999998</v>
      </c>
    </row>
    <row r="13" spans="1:16" ht="30" customHeight="1">
      <c r="B13" s="332">
        <v>5</v>
      </c>
      <c r="C13" s="410" t="s">
        <v>964</v>
      </c>
      <c r="D13" s="409">
        <v>2208993.44</v>
      </c>
      <c r="E13" s="409">
        <v>2165503.02</v>
      </c>
      <c r="F13" s="409">
        <v>0</v>
      </c>
      <c r="G13" s="409">
        <f t="shared" si="1"/>
        <v>2165503.02</v>
      </c>
      <c r="H13" s="409">
        <v>142168.95999999999</v>
      </c>
      <c r="I13" s="409">
        <v>15952.21</v>
      </c>
      <c r="J13" s="409">
        <f t="shared" si="0"/>
        <v>158121.16999999998</v>
      </c>
      <c r="K13" s="409">
        <v>48662100.939999998</v>
      </c>
      <c r="L13" s="500">
        <f t="shared" si="2"/>
        <v>2023334.06</v>
      </c>
      <c r="M13" s="500">
        <f t="shared" si="3"/>
        <v>619140222.36000001</v>
      </c>
    </row>
    <row r="14" spans="1:16" ht="30" customHeight="1">
      <c r="B14" s="332">
        <v>6</v>
      </c>
      <c r="C14" s="165" t="s">
        <v>965</v>
      </c>
      <c r="D14" s="409">
        <v>1611657.96</v>
      </c>
      <c r="E14" s="409">
        <v>1577739.06</v>
      </c>
      <c r="F14" s="409">
        <v>0</v>
      </c>
      <c r="G14" s="409">
        <f t="shared" si="1"/>
        <v>1577739.06</v>
      </c>
      <c r="H14" s="409">
        <v>53398.46</v>
      </c>
      <c r="I14" s="409">
        <v>11732.91</v>
      </c>
      <c r="J14" s="409">
        <f t="shared" si="0"/>
        <v>65131.369999999995</v>
      </c>
      <c r="K14" s="409">
        <v>20067112.32</v>
      </c>
      <c r="L14" s="500">
        <f t="shared" si="2"/>
        <v>1524340.6</v>
      </c>
      <c r="M14" s="500">
        <f t="shared" si="3"/>
        <v>466448223.60000002</v>
      </c>
    </row>
    <row r="15" spans="1:16" ht="30" customHeight="1">
      <c r="B15" s="332">
        <v>7</v>
      </c>
      <c r="C15" s="165" t="s">
        <v>968</v>
      </c>
      <c r="D15" s="409">
        <v>4061160.5</v>
      </c>
      <c r="E15" s="409">
        <v>3975689.42</v>
      </c>
      <c r="F15" s="409">
        <v>0</v>
      </c>
      <c r="G15" s="409">
        <f t="shared" si="1"/>
        <v>3975689.42</v>
      </c>
      <c r="H15" s="409">
        <v>39756.89</v>
      </c>
      <c r="I15" s="409">
        <v>29817.66</v>
      </c>
      <c r="J15" s="409">
        <f t="shared" si="0"/>
        <v>69574.55</v>
      </c>
      <c r="K15" s="409">
        <v>21637643.370000001</v>
      </c>
      <c r="L15" s="500">
        <f t="shared" si="2"/>
        <v>3935932.53</v>
      </c>
      <c r="M15" s="500">
        <f t="shared" si="3"/>
        <v>1204395354.1799998</v>
      </c>
    </row>
    <row r="16" spans="1:16" ht="30" customHeight="1">
      <c r="B16" s="332">
        <v>8</v>
      </c>
      <c r="C16" s="411" t="s">
        <v>967</v>
      </c>
      <c r="D16" s="409">
        <v>3196466.99</v>
      </c>
      <c r="E16" s="409">
        <v>3129194.23</v>
      </c>
      <c r="F16" s="409">
        <v>0</v>
      </c>
      <c r="G16" s="409">
        <f t="shared" si="1"/>
        <v>3129194.23</v>
      </c>
      <c r="H16" s="409">
        <v>32178.91</v>
      </c>
      <c r="I16" s="409">
        <v>23468.95</v>
      </c>
      <c r="J16" s="409">
        <f t="shared" si="0"/>
        <v>55647.86</v>
      </c>
      <c r="K16" s="409">
        <v>17491961.239999998</v>
      </c>
      <c r="L16" s="500">
        <f t="shared" si="2"/>
        <v>3097015.32</v>
      </c>
      <c r="M16" s="500">
        <f t="shared" si="3"/>
        <v>947686687.91999996</v>
      </c>
    </row>
    <row r="17" spans="1:16" ht="30" customHeight="1">
      <c r="B17" s="332">
        <v>9</v>
      </c>
      <c r="C17" s="165" t="s">
        <v>969</v>
      </c>
      <c r="D17" s="409">
        <v>4540210.59</v>
      </c>
      <c r="E17" s="409">
        <v>4444657.43</v>
      </c>
      <c r="F17" s="409">
        <v>0</v>
      </c>
      <c r="G17" s="409">
        <f t="shared" si="1"/>
        <v>4444657.43</v>
      </c>
      <c r="H17" s="409">
        <v>0</v>
      </c>
      <c r="I17" s="409">
        <v>33334.93</v>
      </c>
      <c r="J17" s="409">
        <f t="shared" si="0"/>
        <v>33334.93</v>
      </c>
      <c r="K17" s="409">
        <v>10485938.9</v>
      </c>
      <c r="L17" s="500">
        <f t="shared" si="2"/>
        <v>4444657.43</v>
      </c>
      <c r="M17" s="500">
        <f t="shared" si="3"/>
        <v>1360065173.5799999</v>
      </c>
    </row>
    <row r="18" spans="1:16" ht="30" customHeight="1">
      <c r="B18" s="332">
        <v>10</v>
      </c>
      <c r="C18" s="165" t="s">
        <v>970</v>
      </c>
      <c r="D18" s="409">
        <v>32933320.129999999</v>
      </c>
      <c r="E18" s="409">
        <v>32933320.129999999</v>
      </c>
      <c r="F18" s="409">
        <v>11366673.82</v>
      </c>
      <c r="G18" s="409">
        <f t="shared" si="1"/>
        <v>44299993.950000003</v>
      </c>
      <c r="H18" s="409">
        <v>0</v>
      </c>
      <c r="I18" s="409">
        <v>292588.39</v>
      </c>
      <c r="J18" s="409">
        <f t="shared" si="0"/>
        <v>292588.39</v>
      </c>
      <c r="K18" s="409">
        <v>87788892.659999996</v>
      </c>
      <c r="L18" s="500">
        <f t="shared" si="2"/>
        <v>44299993.950000003</v>
      </c>
      <c r="M18" s="500">
        <f t="shared" si="3"/>
        <v>13555798148.700001</v>
      </c>
    </row>
    <row r="19" spans="1:16" ht="30" customHeight="1">
      <c r="B19" s="332">
        <v>11</v>
      </c>
      <c r="C19" s="165" t="s">
        <v>971</v>
      </c>
      <c r="D19" s="409">
        <v>4144838.5</v>
      </c>
      <c r="E19" s="409">
        <v>4057606.32</v>
      </c>
      <c r="F19" s="409">
        <v>19122519.969999999</v>
      </c>
      <c r="G19" s="409">
        <f t="shared" si="1"/>
        <v>23180126.289999999</v>
      </c>
      <c r="H19" s="409">
        <v>0</v>
      </c>
      <c r="I19" s="409">
        <v>121591.45</v>
      </c>
      <c r="J19" s="409">
        <f t="shared" si="0"/>
        <v>121591.45</v>
      </c>
      <c r="K19" s="409">
        <v>31426405.890000001</v>
      </c>
      <c r="L19" s="500">
        <f t="shared" si="2"/>
        <v>23180126.289999999</v>
      </c>
      <c r="M19" s="500">
        <f t="shared" si="3"/>
        <v>7093118644.7399998</v>
      </c>
    </row>
    <row r="20" spans="1:16" ht="30" customHeight="1">
      <c r="B20" s="412"/>
      <c r="C20" s="413" t="s">
        <v>65</v>
      </c>
      <c r="D20" s="414">
        <f>SUM(D9:D19)</f>
        <v>78053560.649999991</v>
      </c>
      <c r="E20" s="414">
        <f t="shared" ref="E20:M20" si="4">SUM(E9:E19)</f>
        <v>77065945.979999989</v>
      </c>
      <c r="F20" s="414">
        <f t="shared" si="4"/>
        <v>30489193.789999999</v>
      </c>
      <c r="G20" s="414">
        <f t="shared" si="4"/>
        <v>107555139.76999998</v>
      </c>
      <c r="H20" s="414">
        <f t="shared" si="4"/>
        <v>1343541.5399999996</v>
      </c>
      <c r="I20" s="414">
        <f t="shared" si="4"/>
        <v>640975.05999999994</v>
      </c>
      <c r="J20" s="414">
        <f t="shared" si="4"/>
        <v>1984516.5999999999</v>
      </c>
      <c r="K20" s="414">
        <f t="shared" si="4"/>
        <v>592991709.17999995</v>
      </c>
      <c r="L20" s="414">
        <f t="shared" si="4"/>
        <v>106211598.22999999</v>
      </c>
      <c r="M20" s="414">
        <f t="shared" si="4"/>
        <v>32500749058.379997</v>
      </c>
    </row>
    <row r="21" spans="1:16" s="174" customFormat="1" ht="75.75" customHeight="1">
      <c r="A21" s="494"/>
      <c r="B21" s="501"/>
      <c r="C21" s="502"/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94"/>
      <c r="O21" s="494"/>
      <c r="P21" s="494"/>
    </row>
    <row r="22" spans="1:16" s="174" customFormat="1" ht="33" customHeight="1">
      <c r="A22" s="511"/>
      <c r="B22" s="599" t="s">
        <v>2042</v>
      </c>
      <c r="C22" s="599"/>
      <c r="D22" s="599"/>
      <c r="E22" s="599"/>
      <c r="F22" s="599"/>
      <c r="G22" s="599"/>
      <c r="H22" s="599"/>
      <c r="I22" s="599"/>
      <c r="J22" s="599"/>
      <c r="K22" s="599"/>
      <c r="L22" s="599"/>
      <c r="M22" s="599"/>
      <c r="N22" s="511"/>
      <c r="O22" s="511"/>
      <c r="P22" s="511"/>
    </row>
    <row r="23" spans="1:16" s="174" customFormat="1" ht="9.75" customHeight="1">
      <c r="A23" s="511"/>
      <c r="B23" s="513"/>
      <c r="C23" s="513"/>
      <c r="D23" s="513"/>
      <c r="E23" s="513"/>
      <c r="F23" s="513"/>
      <c r="G23" s="513"/>
      <c r="H23" s="513"/>
      <c r="I23" s="513"/>
      <c r="J23" s="513"/>
      <c r="K23" s="513"/>
      <c r="L23" s="513"/>
      <c r="M23" s="513"/>
      <c r="N23" s="511"/>
      <c r="O23" s="511"/>
      <c r="P23" s="511"/>
    </row>
    <row r="24" spans="1:16" s="174" customFormat="1" ht="24.95" customHeight="1">
      <c r="A24" s="494"/>
      <c r="B24" s="501"/>
      <c r="C24" s="413"/>
      <c r="D24" s="621" t="s">
        <v>698</v>
      </c>
      <c r="E24" s="621"/>
      <c r="F24" s="620" t="s">
        <v>3</v>
      </c>
      <c r="G24" s="620"/>
      <c r="H24" s="421"/>
      <c r="I24" s="421"/>
      <c r="J24" s="421"/>
      <c r="K24" s="421"/>
      <c r="L24" s="421"/>
      <c r="M24" s="421"/>
      <c r="N24" s="494"/>
      <c r="O24" s="494"/>
      <c r="P24" s="494"/>
    </row>
    <row r="25" spans="1:16" s="174" customFormat="1" ht="24.95" customHeight="1">
      <c r="A25" s="494"/>
      <c r="B25" s="501"/>
      <c r="C25" s="413" t="s">
        <v>703</v>
      </c>
      <c r="D25" s="619">
        <f>I20</f>
        <v>640975.05999999994</v>
      </c>
      <c r="E25" s="619"/>
      <c r="F25" s="619">
        <f>D25*298.8</f>
        <v>191523347.928</v>
      </c>
      <c r="G25" s="619"/>
      <c r="H25" s="421"/>
      <c r="I25" s="421"/>
      <c r="J25" s="421"/>
      <c r="K25" s="421"/>
      <c r="L25" s="421"/>
      <c r="M25" s="421"/>
      <c r="N25" s="494"/>
      <c r="O25" s="494"/>
      <c r="P25" s="494"/>
    </row>
    <row r="26" spans="1:16" s="174" customFormat="1" ht="24.95" customHeight="1">
      <c r="A26" s="494"/>
      <c r="B26" s="501"/>
      <c r="C26" s="413" t="s">
        <v>1996</v>
      </c>
      <c r="D26" s="619">
        <f>H20</f>
        <v>1343541.5399999996</v>
      </c>
      <c r="E26" s="619"/>
      <c r="F26" s="619">
        <f>D26*298.8</f>
        <v>401450212.15199989</v>
      </c>
      <c r="G26" s="619"/>
      <c r="H26" s="421"/>
      <c r="I26" s="421"/>
      <c r="J26" s="421"/>
      <c r="K26" s="421"/>
      <c r="L26" s="421"/>
      <c r="M26" s="421"/>
      <c r="N26" s="494"/>
      <c r="O26" s="494"/>
      <c r="P26" s="494"/>
    </row>
    <row r="27" spans="1:16" s="174" customFormat="1" ht="24.95" customHeight="1">
      <c r="A27" s="494"/>
      <c r="B27" s="501"/>
      <c r="C27" s="502"/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94"/>
      <c r="O27" s="494"/>
      <c r="P27" s="494"/>
    </row>
    <row r="28" spans="1:16" s="79" customFormat="1" ht="27.95" customHeight="1">
      <c r="A28" s="142"/>
      <c r="B28" s="294"/>
      <c r="C28" s="167"/>
      <c r="D28" s="62"/>
      <c r="E28" s="62"/>
      <c r="F28" s="62"/>
      <c r="G28" s="62"/>
      <c r="H28" s="62"/>
      <c r="I28" s="62"/>
      <c r="J28" s="62"/>
      <c r="K28" s="62"/>
      <c r="L28" s="62"/>
      <c r="M28" s="421"/>
      <c r="N28" s="142"/>
      <c r="O28" s="142"/>
      <c r="P28" s="142"/>
    </row>
    <row r="29" spans="1:16" s="4" customFormat="1" ht="20.100000000000001" customHeight="1">
      <c r="A29" s="204"/>
      <c r="B29" s="205"/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422"/>
      <c r="N29" s="204"/>
      <c r="O29" s="204"/>
      <c r="P29" s="204"/>
    </row>
    <row r="30" spans="1:16" s="4" customFormat="1" ht="20.100000000000001" customHeight="1">
      <c r="A30" s="204"/>
      <c r="B30" s="205"/>
      <c r="C30" s="626" t="s">
        <v>1595</v>
      </c>
      <c r="D30" s="626"/>
      <c r="E30" s="626"/>
      <c r="F30" s="626"/>
      <c r="G30" s="626"/>
      <c r="H30" s="626"/>
      <c r="I30" s="204"/>
      <c r="J30" s="204"/>
      <c r="K30" s="204"/>
      <c r="L30" s="204"/>
      <c r="M30" s="422"/>
      <c r="N30" s="204"/>
      <c r="O30" s="204"/>
      <c r="P30" s="204"/>
    </row>
    <row r="31" spans="1:16" s="4" customFormat="1" ht="20.100000000000001" customHeight="1">
      <c r="A31" s="204"/>
      <c r="B31" s="205"/>
      <c r="C31" s="416"/>
      <c r="D31" s="630" t="s">
        <v>3</v>
      </c>
      <c r="E31" s="630"/>
      <c r="F31" s="630"/>
      <c r="G31" s="630" t="s">
        <v>3</v>
      </c>
      <c r="H31" s="630"/>
      <c r="I31" s="204"/>
      <c r="J31" s="204"/>
      <c r="K31" s="204"/>
      <c r="L31" s="204"/>
      <c r="M31" s="422"/>
      <c r="N31" s="204"/>
      <c r="O31" s="204"/>
      <c r="P31" s="204"/>
    </row>
    <row r="32" spans="1:16" s="4" customFormat="1" ht="20.100000000000001" customHeight="1">
      <c r="A32" s="204"/>
      <c r="B32" s="230"/>
      <c r="C32" s="80" t="s">
        <v>1439</v>
      </c>
      <c r="D32" s="623">
        <v>20748175056.790001</v>
      </c>
      <c r="E32" s="623"/>
      <c r="F32" s="623"/>
      <c r="G32" s="631"/>
      <c r="H32" s="631"/>
      <c r="I32" s="237"/>
      <c r="J32" s="237"/>
      <c r="K32" s="237"/>
      <c r="L32" s="423"/>
      <c r="M32" s="422"/>
      <c r="N32" s="204"/>
      <c r="O32" s="204"/>
      <c r="P32" s="204"/>
    </row>
    <row r="33" spans="1:16" s="4" customFormat="1" ht="20.100000000000001" customHeight="1">
      <c r="A33" s="204"/>
      <c r="B33" s="205"/>
      <c r="C33" s="80" t="s">
        <v>718</v>
      </c>
      <c r="D33" s="623">
        <f>'FOREIGN&amp;LLOCAL LOAN'!E11</f>
        <v>9709551141.0799999</v>
      </c>
      <c r="E33" s="623"/>
      <c r="F33" s="623"/>
      <c r="G33" s="631"/>
      <c r="H33" s="631"/>
      <c r="I33" s="204"/>
      <c r="J33" s="204"/>
      <c r="K33" s="204"/>
      <c r="L33" s="204"/>
      <c r="M33" s="422"/>
      <c r="N33" s="204"/>
      <c r="O33" s="204"/>
      <c r="P33" s="204"/>
    </row>
    <row r="34" spans="1:16" s="4" customFormat="1" ht="20.100000000000001" customHeight="1">
      <c r="A34" s="204"/>
      <c r="B34" s="297"/>
      <c r="C34" s="417" t="s">
        <v>65</v>
      </c>
      <c r="D34" s="627"/>
      <c r="E34" s="627"/>
      <c r="F34" s="627"/>
      <c r="G34" s="628">
        <f>D32+D33</f>
        <v>30457726197.870003</v>
      </c>
      <c r="H34" s="629"/>
      <c r="I34" s="240"/>
      <c r="J34" s="240"/>
      <c r="K34" s="426"/>
      <c r="L34" s="240"/>
      <c r="M34" s="424"/>
      <c r="N34" s="204"/>
      <c r="O34" s="204"/>
      <c r="P34" s="204"/>
    </row>
    <row r="35" spans="1:16" s="4" customFormat="1" ht="20.100000000000001" customHeight="1">
      <c r="A35" s="204"/>
      <c r="B35" s="205"/>
      <c r="C35" s="80" t="s">
        <v>1441</v>
      </c>
      <c r="D35" s="622"/>
      <c r="E35" s="622"/>
      <c r="F35" s="622"/>
      <c r="G35" s="622"/>
      <c r="H35" s="622"/>
      <c r="I35" s="204"/>
      <c r="J35" s="204"/>
      <c r="K35" s="204"/>
      <c r="L35" s="204"/>
      <c r="M35" s="422"/>
      <c r="N35" s="204"/>
      <c r="O35" s="204"/>
      <c r="P35" s="204"/>
    </row>
    <row r="36" spans="1:16" s="4" customFormat="1" ht="20.100000000000001" customHeight="1">
      <c r="A36" s="204"/>
      <c r="B36" s="297"/>
      <c r="C36" s="80" t="s">
        <v>1442</v>
      </c>
      <c r="D36" s="622"/>
      <c r="E36" s="622"/>
      <c r="F36" s="622"/>
      <c r="G36" s="623">
        <f>'FAAC DEDUC '!D20-191523347.93</f>
        <v>423196344.28000003</v>
      </c>
      <c r="H36" s="623"/>
      <c r="I36" s="241"/>
      <c r="J36" s="241"/>
      <c r="K36" s="241"/>
      <c r="L36" s="241"/>
      <c r="M36" s="425"/>
      <c r="N36" s="204"/>
      <c r="O36" s="204"/>
      <c r="P36" s="204"/>
    </row>
    <row r="37" spans="1:16" s="4" customFormat="1" ht="20.100000000000001" customHeight="1">
      <c r="A37" s="204"/>
      <c r="B37" s="205"/>
      <c r="C37" s="417" t="s">
        <v>1443</v>
      </c>
      <c r="D37" s="624"/>
      <c r="E37" s="624"/>
      <c r="F37" s="624"/>
      <c r="G37" s="625">
        <f>G34-G36</f>
        <v>30034529853.590004</v>
      </c>
      <c r="H37" s="624"/>
      <c r="I37" s="204"/>
      <c r="J37" s="204"/>
      <c r="K37" s="204"/>
      <c r="L37" s="204"/>
      <c r="M37" s="422"/>
      <c r="N37" s="204"/>
      <c r="O37" s="204"/>
      <c r="P37" s="204"/>
    </row>
    <row r="38" spans="1:16" hidden="1">
      <c r="E38" s="213">
        <f>G37</f>
        <v>30034529853.590004</v>
      </c>
      <c r="F38" s="213">
        <f>G36</f>
        <v>423196344.28000003</v>
      </c>
    </row>
    <row r="39" spans="1:16" hidden="1">
      <c r="C39" s="418">
        <f>G37</f>
        <v>30034529853.590004</v>
      </c>
    </row>
  </sheetData>
  <mergeCells count="26">
    <mergeCell ref="D36:F36"/>
    <mergeCell ref="G36:H36"/>
    <mergeCell ref="D37:F37"/>
    <mergeCell ref="G37:H37"/>
    <mergeCell ref="C30:H30"/>
    <mergeCell ref="D34:F34"/>
    <mergeCell ref="G34:H34"/>
    <mergeCell ref="D35:F35"/>
    <mergeCell ref="G35:H35"/>
    <mergeCell ref="D31:F31"/>
    <mergeCell ref="G31:H31"/>
    <mergeCell ref="D32:F32"/>
    <mergeCell ref="G32:H32"/>
    <mergeCell ref="D33:F33"/>
    <mergeCell ref="G33:H33"/>
    <mergeCell ref="F26:G26"/>
    <mergeCell ref="D25:E25"/>
    <mergeCell ref="D26:E26"/>
    <mergeCell ref="B22:M22"/>
    <mergeCell ref="B1:M1"/>
    <mergeCell ref="B2:M2"/>
    <mergeCell ref="B3:M3"/>
    <mergeCell ref="B4:M4"/>
    <mergeCell ref="F25:G25"/>
    <mergeCell ref="F24:G24"/>
    <mergeCell ref="D24:E24"/>
  </mergeCells>
  <pageMargins left="0.25" right="0.45" top="0.75" bottom="0.5" header="0.3" footer="0.5"/>
  <pageSetup paperSize="9" firstPageNumber="142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opLeftCell="A14" workbookViewId="0">
      <selection activeCell="F28" sqref="F28"/>
    </sheetView>
  </sheetViews>
  <sheetFormatPr defaultRowHeight="15"/>
  <cols>
    <col min="1" max="1" width="2.28515625" style="142" customWidth="1"/>
    <col min="2" max="2" width="5.5703125" style="191" customWidth="1"/>
    <col min="3" max="3" width="22" style="142" customWidth="1"/>
    <col min="4" max="4" width="15.28515625" style="142" customWidth="1"/>
    <col min="5" max="5" width="14.7109375" style="142" customWidth="1"/>
    <col min="6" max="7" width="15.7109375" style="142" customWidth="1"/>
    <col min="8" max="8" width="15.28515625" style="142" customWidth="1"/>
    <col min="9" max="9" width="15.42578125" style="142" customWidth="1"/>
    <col min="10" max="10" width="17.28515625" style="142" customWidth="1"/>
    <col min="11" max="11" width="9.140625" style="142"/>
    <col min="12" max="12" width="20.5703125" customWidth="1"/>
  </cols>
  <sheetData>
    <row r="1" spans="1:13" s="108" customFormat="1" ht="21.95" hidden="1" customHeight="1">
      <c r="A1" s="142"/>
      <c r="B1" s="599" t="s">
        <v>0</v>
      </c>
      <c r="C1" s="599"/>
      <c r="D1" s="599"/>
      <c r="E1" s="599"/>
      <c r="F1" s="599"/>
      <c r="G1" s="599"/>
      <c r="H1" s="599"/>
      <c r="I1" s="599"/>
      <c r="J1" s="599"/>
      <c r="K1" s="269"/>
      <c r="L1" s="120"/>
      <c r="M1" s="120"/>
    </row>
    <row r="2" spans="1:13" s="108" customFormat="1" ht="21.95" hidden="1" customHeight="1">
      <c r="A2" s="142"/>
      <c r="B2" s="600" t="s">
        <v>1571</v>
      </c>
      <c r="C2" s="600"/>
      <c r="D2" s="600"/>
      <c r="E2" s="600"/>
      <c r="F2" s="600"/>
      <c r="G2" s="600"/>
      <c r="H2" s="600"/>
      <c r="I2" s="600"/>
      <c r="J2" s="600"/>
      <c r="K2" s="270"/>
      <c r="L2" s="121"/>
      <c r="M2" s="121"/>
    </row>
    <row r="3" spans="1:13" s="108" customFormat="1" ht="21.95" hidden="1" customHeight="1">
      <c r="A3" s="142"/>
      <c r="B3" s="600" t="s">
        <v>336</v>
      </c>
      <c r="C3" s="600"/>
      <c r="D3" s="600"/>
      <c r="E3" s="600"/>
      <c r="F3" s="600"/>
      <c r="G3" s="600"/>
      <c r="H3" s="600"/>
      <c r="I3" s="600"/>
      <c r="J3" s="600"/>
      <c r="K3" s="270"/>
      <c r="L3" s="121"/>
      <c r="M3" s="121"/>
    </row>
    <row r="4" spans="1:13" s="108" customFormat="1" ht="21.95" customHeight="1">
      <c r="A4" s="142"/>
      <c r="B4" s="599" t="s">
        <v>2043</v>
      </c>
      <c r="C4" s="599"/>
      <c r="D4" s="599"/>
      <c r="E4" s="599"/>
      <c r="F4" s="599"/>
      <c r="G4" s="599"/>
      <c r="H4" s="599"/>
      <c r="I4" s="599"/>
      <c r="J4" s="599"/>
      <c r="K4" s="269"/>
      <c r="L4" s="120"/>
      <c r="M4" s="120"/>
    </row>
    <row r="5" spans="1:13" s="157" customFormat="1" ht="11.25" customHeight="1">
      <c r="A5" s="142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158"/>
      <c r="M5" s="158"/>
    </row>
    <row r="6" spans="1:13" s="40" customFormat="1" ht="28.5" customHeight="1">
      <c r="A6" s="406"/>
      <c r="B6" s="179" t="s">
        <v>87</v>
      </c>
      <c r="C6" s="179" t="s">
        <v>695</v>
      </c>
      <c r="D6" s="179" t="s">
        <v>699</v>
      </c>
      <c r="E6" s="179" t="s">
        <v>700</v>
      </c>
      <c r="F6" s="179" t="s">
        <v>714</v>
      </c>
      <c r="G6" s="179" t="s">
        <v>902</v>
      </c>
      <c r="H6" s="179" t="s">
        <v>703</v>
      </c>
      <c r="I6" s="179" t="s">
        <v>704</v>
      </c>
      <c r="J6" s="179" t="s">
        <v>705</v>
      </c>
      <c r="K6" s="406"/>
    </row>
    <row r="7" spans="1:13" s="1" customFormat="1" ht="24.95" customHeight="1">
      <c r="A7" s="191"/>
      <c r="B7" s="154" t="s">
        <v>75</v>
      </c>
      <c r="C7" s="154" t="s">
        <v>76</v>
      </c>
      <c r="D7" s="154" t="s">
        <v>77</v>
      </c>
      <c r="E7" s="154" t="s">
        <v>85</v>
      </c>
      <c r="F7" s="154" t="s">
        <v>711</v>
      </c>
      <c r="G7" s="154" t="s">
        <v>86</v>
      </c>
      <c r="H7" s="154" t="s">
        <v>697</v>
      </c>
      <c r="I7" s="154" t="s">
        <v>712</v>
      </c>
      <c r="J7" s="154" t="s">
        <v>713</v>
      </c>
      <c r="K7" s="191"/>
    </row>
    <row r="8" spans="1:13" ht="24.95" customHeight="1">
      <c r="B8" s="154"/>
      <c r="C8" s="153"/>
      <c r="D8" s="182" t="s">
        <v>1458</v>
      </c>
      <c r="E8" s="182" t="s">
        <v>1458</v>
      </c>
      <c r="F8" s="182" t="s">
        <v>1458</v>
      </c>
      <c r="G8" s="182" t="s">
        <v>1458</v>
      </c>
      <c r="H8" s="182" t="s">
        <v>1458</v>
      </c>
      <c r="I8" s="182" t="s">
        <v>1458</v>
      </c>
      <c r="J8" s="182" t="s">
        <v>1458</v>
      </c>
    </row>
    <row r="9" spans="1:13" ht="27.75" customHeight="1">
      <c r="B9" s="212">
        <v>1</v>
      </c>
      <c r="C9" s="428" t="s">
        <v>706</v>
      </c>
      <c r="D9" s="409">
        <v>18379373970.530003</v>
      </c>
      <c r="E9" s="409">
        <v>0</v>
      </c>
      <c r="F9" s="409">
        <f>E9+D9</f>
        <v>18379373970.530003</v>
      </c>
      <c r="G9" s="409">
        <v>270049872.20999998</v>
      </c>
      <c r="H9" s="409">
        <v>2707793949.1500001</v>
      </c>
      <c r="I9" s="409">
        <f>H9+G9</f>
        <v>2977843821.3600001</v>
      </c>
      <c r="J9" s="409">
        <f>F9-G9</f>
        <v>18109324098.320004</v>
      </c>
    </row>
    <row r="10" spans="1:13" ht="27.75" customHeight="1">
      <c r="B10" s="212">
        <v>2</v>
      </c>
      <c r="C10" s="428" t="s">
        <v>707</v>
      </c>
      <c r="D10" s="409">
        <v>9191647460.8199997</v>
      </c>
      <c r="E10" s="409">
        <v>0</v>
      </c>
      <c r="F10" s="409">
        <f t="shared" ref="F10:F18" si="0">E10+D10</f>
        <v>9191647460.8199997</v>
      </c>
      <c r="G10" s="409">
        <v>272012693.81</v>
      </c>
      <c r="H10" s="409">
        <v>764740617.27999997</v>
      </c>
      <c r="I10" s="409">
        <f t="shared" ref="I10:I18" si="1">H10+G10</f>
        <v>1036753311.0899999</v>
      </c>
      <c r="J10" s="409">
        <f t="shared" ref="J10:J18" si="2">F10-G10</f>
        <v>8919634767.0100002</v>
      </c>
    </row>
    <row r="11" spans="1:13" ht="27.75" customHeight="1">
      <c r="B11" s="212">
        <v>3</v>
      </c>
      <c r="C11" s="429" t="s">
        <v>708</v>
      </c>
      <c r="D11" s="409">
        <v>7263257160.6899996</v>
      </c>
      <c r="E11" s="409">
        <v>0</v>
      </c>
      <c r="F11" s="409">
        <f t="shared" si="0"/>
        <v>7263257160.6899996</v>
      </c>
      <c r="G11" s="409">
        <f>3574771272+1229496000.12</f>
        <v>4804267272.1199999</v>
      </c>
      <c r="H11" s="409">
        <v>0</v>
      </c>
      <c r="I11" s="409">
        <f t="shared" si="1"/>
        <v>4804267272.1199999</v>
      </c>
      <c r="J11" s="409">
        <f t="shared" si="2"/>
        <v>2458989888.5699997</v>
      </c>
      <c r="L11" s="44"/>
    </row>
    <row r="12" spans="1:13" ht="27.75" customHeight="1">
      <c r="B12" s="212">
        <v>4</v>
      </c>
      <c r="C12" s="430" t="s">
        <v>709</v>
      </c>
      <c r="D12" s="409">
        <v>110000000</v>
      </c>
      <c r="E12" s="409">
        <v>0</v>
      </c>
      <c r="F12" s="409">
        <f t="shared" si="0"/>
        <v>110000000</v>
      </c>
      <c r="G12" s="409">
        <v>0</v>
      </c>
      <c r="H12" s="409">
        <v>0</v>
      </c>
      <c r="I12" s="409">
        <f t="shared" si="1"/>
        <v>0</v>
      </c>
      <c r="J12" s="409">
        <f t="shared" si="2"/>
        <v>110000000</v>
      </c>
      <c r="L12" s="65"/>
    </row>
    <row r="13" spans="1:13" ht="27.75" customHeight="1">
      <c r="B13" s="212">
        <v>5</v>
      </c>
      <c r="C13" s="428" t="s">
        <v>900</v>
      </c>
      <c r="D13" s="409">
        <v>9657277972.7199993</v>
      </c>
      <c r="E13" s="409">
        <v>0</v>
      </c>
      <c r="F13" s="409">
        <f t="shared" si="0"/>
        <v>9657277972.7199993</v>
      </c>
      <c r="G13" s="409">
        <f>219681194.33+87165121.01</f>
        <v>306846315.34000003</v>
      </c>
      <c r="H13" s="409">
        <f>10620.22+860182658.03+272741318.03-16056.68</f>
        <v>1132918539.5999999</v>
      </c>
      <c r="I13" s="409">
        <f t="shared" si="1"/>
        <v>1439764854.9400001</v>
      </c>
      <c r="J13" s="409">
        <f t="shared" si="2"/>
        <v>9350431657.3799992</v>
      </c>
      <c r="L13" s="65"/>
    </row>
    <row r="14" spans="1:13" ht="27.75" customHeight="1">
      <c r="B14" s="212">
        <v>6</v>
      </c>
      <c r="C14" s="428" t="s">
        <v>696</v>
      </c>
      <c r="D14" s="409">
        <v>16869000000</v>
      </c>
      <c r="E14" s="409">
        <v>0</v>
      </c>
      <c r="F14" s="409">
        <f t="shared" si="0"/>
        <v>16869000000</v>
      </c>
      <c r="G14" s="409">
        <v>0</v>
      </c>
      <c r="H14" s="409"/>
      <c r="I14" s="409">
        <f t="shared" si="1"/>
        <v>0</v>
      </c>
      <c r="J14" s="409">
        <f t="shared" si="2"/>
        <v>16869000000</v>
      </c>
    </row>
    <row r="15" spans="1:13" ht="27.75" customHeight="1">
      <c r="B15" s="212">
        <v>7</v>
      </c>
      <c r="C15" s="428" t="s">
        <v>710</v>
      </c>
      <c r="D15" s="409">
        <v>2687788065.2800002</v>
      </c>
      <c r="E15" s="409">
        <v>0</v>
      </c>
      <c r="F15" s="409">
        <f t="shared" si="0"/>
        <v>2687788065.2800002</v>
      </c>
      <c r="G15" s="409">
        <v>700000000</v>
      </c>
      <c r="H15" s="409"/>
      <c r="I15" s="409">
        <f t="shared" si="1"/>
        <v>700000000</v>
      </c>
      <c r="J15" s="409">
        <f t="shared" si="2"/>
        <v>1987788065.2800002</v>
      </c>
    </row>
    <row r="16" spans="1:13" ht="27.75" customHeight="1">
      <c r="B16" s="212">
        <v>8</v>
      </c>
      <c r="C16" s="428" t="s">
        <v>901</v>
      </c>
      <c r="D16" s="409">
        <v>246675000</v>
      </c>
      <c r="E16" s="409">
        <v>0</v>
      </c>
      <c r="F16" s="409">
        <f t="shared" si="0"/>
        <v>246675000</v>
      </c>
      <c r="G16" s="409">
        <v>164450000</v>
      </c>
      <c r="H16" s="409">
        <v>0</v>
      </c>
      <c r="I16" s="409">
        <f t="shared" si="1"/>
        <v>164450000</v>
      </c>
      <c r="J16" s="409">
        <f t="shared" si="2"/>
        <v>82225000</v>
      </c>
    </row>
    <row r="17" spans="1:11" s="66" customFormat="1" ht="27.75" customHeight="1">
      <c r="A17" s="142"/>
      <c r="B17" s="212">
        <v>9</v>
      </c>
      <c r="C17" s="428" t="s">
        <v>1520</v>
      </c>
      <c r="D17" s="409">
        <v>0</v>
      </c>
      <c r="E17" s="409">
        <v>287500000</v>
      </c>
      <c r="F17" s="409">
        <f t="shared" si="0"/>
        <v>287500000</v>
      </c>
      <c r="G17" s="409">
        <v>287500000</v>
      </c>
      <c r="H17" s="409">
        <f>12500000+21346462.2</f>
        <v>33846462.200000003</v>
      </c>
      <c r="I17" s="409">
        <f t="shared" si="1"/>
        <v>321346462.19999999</v>
      </c>
      <c r="J17" s="409">
        <f t="shared" si="2"/>
        <v>0</v>
      </c>
      <c r="K17" s="142"/>
    </row>
    <row r="18" spans="1:11" s="71" customFormat="1" ht="27.75" customHeight="1">
      <c r="A18" s="142"/>
      <c r="B18" s="212">
        <v>10</v>
      </c>
      <c r="C18" s="428" t="s">
        <v>1412</v>
      </c>
      <c r="D18" s="409">
        <v>240000000</v>
      </c>
      <c r="E18" s="409">
        <v>0</v>
      </c>
      <c r="F18" s="409">
        <f t="shared" si="0"/>
        <v>240000000</v>
      </c>
      <c r="G18" s="409">
        <v>60000000</v>
      </c>
      <c r="H18" s="409"/>
      <c r="I18" s="409">
        <f t="shared" si="1"/>
        <v>60000000</v>
      </c>
      <c r="J18" s="409">
        <f t="shared" si="2"/>
        <v>180000000</v>
      </c>
      <c r="K18" s="142"/>
    </row>
    <row r="19" spans="1:11" ht="27" customHeight="1">
      <c r="B19" s="276"/>
      <c r="C19" s="431" t="s">
        <v>65</v>
      </c>
      <c r="D19" s="414">
        <f>SUM(D9:D18)</f>
        <v>64645019630.040001</v>
      </c>
      <c r="E19" s="414">
        <f t="shared" ref="E19:I19" si="3">SUM(E9:E18)</f>
        <v>287500000</v>
      </c>
      <c r="F19" s="414">
        <f>D19+E19</f>
        <v>64932519630.040001</v>
      </c>
      <c r="G19" s="414">
        <f t="shared" si="3"/>
        <v>6865126153.4799995</v>
      </c>
      <c r="H19" s="414">
        <f t="shared" si="3"/>
        <v>4639299568.2300005</v>
      </c>
      <c r="I19" s="414">
        <f t="shared" si="3"/>
        <v>11504425721.710001</v>
      </c>
      <c r="J19" s="414">
        <f>F19-G19</f>
        <v>58067393476.559998</v>
      </c>
    </row>
    <row r="20" spans="1:11" ht="24.95" customHeight="1">
      <c r="B20" s="294"/>
      <c r="C20" s="415"/>
      <c r="D20" s="415"/>
      <c r="E20" s="415"/>
      <c r="F20" s="432"/>
      <c r="G20" s="415"/>
      <c r="H20" s="432"/>
      <c r="I20" s="415"/>
      <c r="J20" s="433"/>
    </row>
    <row r="21" spans="1:11" s="4" customFormat="1" ht="20.100000000000001" customHeight="1">
      <c r="A21" s="204"/>
      <c r="B21" s="230"/>
      <c r="C21" s="237"/>
      <c r="D21" s="434"/>
      <c r="E21" s="237"/>
      <c r="F21" s="435"/>
      <c r="G21" s="237"/>
      <c r="H21" s="237"/>
      <c r="I21" s="237"/>
      <c r="J21" s="237"/>
      <c r="K21" s="204"/>
    </row>
    <row r="22" spans="1:11" s="4" customFormat="1" ht="20.100000000000001" hidden="1" customHeight="1">
      <c r="A22" s="204"/>
      <c r="B22" s="205"/>
      <c r="C22" s="204"/>
      <c r="D22" s="204"/>
      <c r="E22" s="204"/>
      <c r="F22" s="204"/>
      <c r="G22" s="204"/>
      <c r="H22" s="207">
        <f>I19-10063099044.92</f>
        <v>1441326676.7900009</v>
      </c>
      <c r="I22" s="204"/>
      <c r="J22" s="435"/>
      <c r="K22" s="204"/>
    </row>
    <row r="23" spans="1:11" s="4" customFormat="1" ht="20.100000000000001" customHeight="1">
      <c r="A23" s="204"/>
      <c r="B23" s="230"/>
      <c r="C23" s="237"/>
      <c r="D23" s="237"/>
      <c r="E23" s="237"/>
      <c r="F23" s="237"/>
      <c r="G23" s="237"/>
      <c r="H23" s="237"/>
      <c r="I23" s="237"/>
      <c r="J23" s="237"/>
      <c r="K23" s="204"/>
    </row>
    <row r="24" spans="1:11" s="4" customFormat="1" ht="20.100000000000001" customHeight="1">
      <c r="A24" s="204"/>
      <c r="B24" s="205"/>
      <c r="C24" s="204"/>
      <c r="D24" s="204"/>
      <c r="E24" s="204"/>
      <c r="F24" s="204"/>
      <c r="G24" s="204"/>
      <c r="H24" s="204"/>
      <c r="I24" s="204"/>
      <c r="J24" s="204"/>
      <c r="K24" s="204"/>
    </row>
    <row r="25" spans="1:11" s="4" customFormat="1" ht="20.100000000000001" customHeight="1">
      <c r="A25" s="204"/>
      <c r="B25" s="205"/>
      <c r="C25" s="204"/>
      <c r="D25" s="204"/>
      <c r="E25" s="204"/>
      <c r="F25" s="204"/>
      <c r="G25" s="204"/>
      <c r="H25" s="204"/>
      <c r="I25" s="204"/>
      <c r="J25" s="204"/>
      <c r="K25" s="204"/>
    </row>
    <row r="26" spans="1:11" s="4" customFormat="1" ht="20.100000000000001" customHeight="1">
      <c r="A26" s="204"/>
      <c r="B26" s="297"/>
      <c r="C26" s="240"/>
      <c r="D26" s="240"/>
      <c r="E26" s="240"/>
      <c r="F26" s="240"/>
      <c r="G26" s="240"/>
      <c r="H26" s="240"/>
      <c r="I26" s="240"/>
      <c r="J26" s="240"/>
      <c r="K26" s="204"/>
    </row>
    <row r="27" spans="1:11" s="4" customFormat="1" ht="20.100000000000001" customHeight="1">
      <c r="A27" s="204"/>
      <c r="B27" s="205"/>
      <c r="C27" s="204"/>
      <c r="D27" s="204"/>
      <c r="E27" s="204"/>
      <c r="F27" s="204"/>
      <c r="G27" s="204"/>
      <c r="H27" s="204"/>
      <c r="I27" s="204"/>
      <c r="J27" s="204"/>
      <c r="K27" s="204"/>
    </row>
    <row r="28" spans="1:11" s="4" customFormat="1" ht="20.100000000000001" customHeight="1">
      <c r="A28" s="204"/>
      <c r="B28" s="297"/>
      <c r="C28" s="241"/>
      <c r="D28" s="241"/>
      <c r="E28" s="241"/>
      <c r="F28" s="241"/>
      <c r="G28" s="241"/>
      <c r="H28" s="241"/>
      <c r="I28" s="241"/>
      <c r="J28" s="241"/>
      <c r="K28" s="204"/>
    </row>
    <row r="29" spans="1:11" s="4" customFormat="1" ht="20.100000000000001" customHeight="1">
      <c r="A29" s="204"/>
      <c r="B29" s="205"/>
      <c r="C29" s="204"/>
      <c r="D29" s="204"/>
      <c r="E29" s="204"/>
      <c r="F29" s="204"/>
      <c r="G29" s="204"/>
      <c r="H29" s="204"/>
      <c r="I29" s="204"/>
      <c r="J29" s="204"/>
      <c r="K29" s="204"/>
    </row>
    <row r="30" spans="1:11" s="4" customFormat="1" ht="20.100000000000001" customHeight="1">
      <c r="A30" s="204"/>
      <c r="B30" s="205"/>
      <c r="C30" s="204"/>
      <c r="D30" s="204"/>
      <c r="E30" s="204"/>
      <c r="F30" s="204"/>
      <c r="G30" s="204"/>
      <c r="H30" s="204"/>
      <c r="I30" s="204"/>
      <c r="J30" s="204"/>
      <c r="K30" s="204"/>
    </row>
    <row r="31" spans="1:11" s="4" customFormat="1" ht="20.100000000000001" customHeight="1">
      <c r="A31" s="204"/>
      <c r="B31" s="205"/>
      <c r="C31" s="204"/>
      <c r="D31" s="204"/>
      <c r="E31" s="204"/>
      <c r="F31" s="204"/>
      <c r="G31" s="204"/>
      <c r="H31" s="204"/>
      <c r="I31" s="204"/>
      <c r="J31" s="204"/>
      <c r="K31" s="204"/>
    </row>
    <row r="32" spans="1:11" s="4" customFormat="1" ht="20.100000000000001" customHeight="1">
      <c r="A32" s="204"/>
      <c r="B32" s="297"/>
      <c r="C32" s="240"/>
      <c r="D32" s="240"/>
      <c r="E32" s="240"/>
      <c r="F32" s="240"/>
      <c r="G32" s="240"/>
      <c r="H32" s="240"/>
      <c r="I32" s="240"/>
      <c r="J32" s="240"/>
      <c r="K32" s="204"/>
    </row>
    <row r="33" spans="1:11" s="4" customFormat="1" ht="20.100000000000001" customHeight="1">
      <c r="A33" s="204"/>
      <c r="B33" s="297"/>
      <c r="C33" s="240"/>
      <c r="D33" s="240"/>
      <c r="E33" s="240"/>
      <c r="F33" s="240"/>
      <c r="G33" s="240"/>
      <c r="H33" s="240"/>
      <c r="I33" s="240"/>
      <c r="J33" s="240"/>
      <c r="K33" s="204"/>
    </row>
    <row r="34" spans="1:11" s="4" customFormat="1" ht="20.100000000000001" customHeight="1">
      <c r="A34" s="204"/>
      <c r="B34" s="297"/>
      <c r="C34" s="240"/>
      <c r="D34" s="240"/>
      <c r="E34" s="240"/>
      <c r="F34" s="240"/>
      <c r="G34" s="240"/>
      <c r="H34" s="240"/>
      <c r="I34" s="240"/>
      <c r="J34" s="240"/>
      <c r="K34" s="204"/>
    </row>
    <row r="35" spans="1:11" s="4" customFormat="1" ht="20.100000000000001" customHeight="1">
      <c r="A35" s="204"/>
      <c r="B35" s="205"/>
      <c r="C35" s="204"/>
      <c r="D35" s="204"/>
      <c r="E35" s="204"/>
      <c r="F35" s="204"/>
      <c r="G35" s="204"/>
      <c r="H35" s="204"/>
      <c r="I35" s="204"/>
      <c r="J35" s="204"/>
      <c r="K35" s="204"/>
    </row>
    <row r="36" spans="1:11" s="4" customFormat="1" ht="20.100000000000001" customHeight="1">
      <c r="A36" s="204"/>
      <c r="B36" s="205"/>
      <c r="C36" s="204"/>
      <c r="D36" s="204"/>
      <c r="E36" s="204"/>
      <c r="F36" s="204"/>
      <c r="G36" s="204"/>
      <c r="H36" s="204"/>
      <c r="I36" s="204"/>
      <c r="J36" s="204"/>
      <c r="K36" s="204"/>
    </row>
    <row r="37" spans="1:11" s="4" customFormat="1" ht="20.100000000000001" customHeight="1">
      <c r="A37" s="204"/>
      <c r="B37" s="205"/>
      <c r="C37" s="204"/>
      <c r="D37" s="204"/>
      <c r="E37" s="204"/>
      <c r="F37" s="204"/>
      <c r="G37" s="204"/>
      <c r="H37" s="204"/>
      <c r="I37" s="204"/>
      <c r="J37" s="204"/>
      <c r="K37" s="204"/>
    </row>
  </sheetData>
  <mergeCells count="4">
    <mergeCell ref="B1:J1"/>
    <mergeCell ref="B2:J2"/>
    <mergeCell ref="B3:J3"/>
    <mergeCell ref="B4:J4"/>
  </mergeCells>
  <pageMargins left="0.25" right="0.5" top="0.75" bottom="0.5" header="0.3" footer="0.5"/>
  <pageSetup paperSize="9" firstPageNumber="144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9"/>
  <sheetViews>
    <sheetView zoomScale="106" zoomScaleNormal="106" workbookViewId="0">
      <selection activeCell="H11" sqref="H11"/>
    </sheetView>
  </sheetViews>
  <sheetFormatPr defaultRowHeight="15"/>
  <cols>
    <col min="1" max="1" width="2.85546875" style="511" customWidth="1"/>
    <col min="2" max="2" width="5.28515625" style="170" customWidth="1"/>
    <col min="3" max="3" width="17.5703125" style="360" customWidth="1"/>
    <col min="4" max="4" width="6.5703125" style="151" customWidth="1"/>
    <col min="5" max="5" width="20.140625" style="360" customWidth="1"/>
    <col min="6" max="6" width="8" style="191" customWidth="1"/>
    <col min="7" max="7" width="22.42578125" style="396" customWidth="1"/>
    <col min="8" max="8" width="17.7109375" style="200" customWidth="1"/>
    <col min="9" max="10" width="16.7109375" style="200" customWidth="1"/>
    <col min="11" max="12" width="9.140625" style="511"/>
    <col min="13" max="16384" width="9.140625" style="174"/>
  </cols>
  <sheetData>
    <row r="1" spans="1:12" ht="24.95" customHeight="1">
      <c r="B1" s="599" t="s">
        <v>0</v>
      </c>
      <c r="C1" s="599"/>
      <c r="D1" s="599"/>
      <c r="E1" s="599"/>
      <c r="F1" s="599"/>
      <c r="G1" s="599"/>
      <c r="H1" s="599"/>
      <c r="I1" s="599"/>
      <c r="J1" s="599"/>
    </row>
    <row r="2" spans="1:12" ht="24.95" customHeight="1">
      <c r="B2" s="600" t="s">
        <v>1571</v>
      </c>
      <c r="C2" s="600"/>
      <c r="D2" s="600"/>
      <c r="E2" s="600"/>
      <c r="F2" s="600"/>
      <c r="G2" s="600"/>
      <c r="H2" s="600"/>
      <c r="I2" s="600"/>
      <c r="J2" s="600"/>
    </row>
    <row r="3" spans="1:12" ht="24.95" customHeight="1">
      <c r="B3" s="599" t="s">
        <v>1360</v>
      </c>
      <c r="C3" s="599"/>
      <c r="D3" s="599"/>
      <c r="E3" s="599"/>
      <c r="F3" s="599"/>
      <c r="G3" s="599"/>
      <c r="H3" s="599"/>
      <c r="I3" s="599"/>
      <c r="J3" s="599"/>
    </row>
    <row r="4" spans="1:12" ht="12.75" customHeight="1">
      <c r="B4" s="361"/>
    </row>
    <row r="5" spans="1:12" s="537" customFormat="1" ht="20.100000000000001" customHeight="1">
      <c r="A5" s="534"/>
      <c r="B5" s="632" t="s">
        <v>1142</v>
      </c>
      <c r="C5" s="633"/>
      <c r="D5" s="632" t="s">
        <v>1143</v>
      </c>
      <c r="E5" s="633"/>
      <c r="F5" s="632" t="s">
        <v>1144</v>
      </c>
      <c r="G5" s="633"/>
      <c r="H5" s="393" t="s">
        <v>993</v>
      </c>
      <c r="I5" s="535" t="s">
        <v>994</v>
      </c>
      <c r="J5" s="393" t="s">
        <v>93</v>
      </c>
      <c r="K5" s="536"/>
      <c r="L5" s="536"/>
    </row>
    <row r="6" spans="1:12" s="537" customFormat="1" ht="20.100000000000001" customHeight="1">
      <c r="A6" s="534"/>
      <c r="B6" s="538" t="s">
        <v>1145</v>
      </c>
      <c r="C6" s="539" t="s">
        <v>1146</v>
      </c>
      <c r="D6" s="538" t="s">
        <v>1145</v>
      </c>
      <c r="E6" s="539" t="s">
        <v>1146</v>
      </c>
      <c r="F6" s="538" t="s">
        <v>1145</v>
      </c>
      <c r="G6" s="523" t="s">
        <v>1146</v>
      </c>
      <c r="H6" s="540">
        <v>2018</v>
      </c>
      <c r="I6" s="540">
        <v>2018</v>
      </c>
      <c r="J6" s="541">
        <v>2018</v>
      </c>
      <c r="K6" s="536"/>
      <c r="L6" s="536"/>
    </row>
    <row r="7" spans="1:12" s="537" customFormat="1" ht="20.100000000000001" customHeight="1">
      <c r="A7" s="534"/>
      <c r="B7" s="538"/>
      <c r="C7" s="542"/>
      <c r="D7" s="538"/>
      <c r="E7" s="542"/>
      <c r="F7" s="543"/>
      <c r="G7" s="524"/>
      <c r="H7" s="514" t="s">
        <v>1458</v>
      </c>
      <c r="I7" s="514" t="s">
        <v>1458</v>
      </c>
      <c r="J7" s="514" t="s">
        <v>1458</v>
      </c>
      <c r="K7" s="536"/>
      <c r="L7" s="536"/>
    </row>
    <row r="8" spans="1:12" s="537" customFormat="1" ht="20.100000000000001" customHeight="1">
      <c r="A8" s="545"/>
      <c r="B8" s="634">
        <v>701</v>
      </c>
      <c r="C8" s="635" t="s">
        <v>995</v>
      </c>
      <c r="D8" s="634">
        <v>7011</v>
      </c>
      <c r="E8" s="636" t="s">
        <v>996</v>
      </c>
      <c r="F8" s="546">
        <v>70111</v>
      </c>
      <c r="G8" s="525" t="s">
        <v>997</v>
      </c>
      <c r="H8" s="548">
        <f>'[1]ANNEXURE 2'!R61</f>
        <v>6977112832.4799986</v>
      </c>
      <c r="I8" s="548">
        <f>'[1]ANNEXURE 2'!M61</f>
        <v>3718142795.5599999</v>
      </c>
      <c r="J8" s="21">
        <f>H8-I8</f>
        <v>3258970036.9199986</v>
      </c>
      <c r="K8" s="536"/>
      <c r="L8" s="536"/>
    </row>
    <row r="9" spans="1:12" s="537" customFormat="1" ht="20.100000000000001" customHeight="1">
      <c r="A9" s="545"/>
      <c r="B9" s="634"/>
      <c r="C9" s="635"/>
      <c r="D9" s="634"/>
      <c r="E9" s="637"/>
      <c r="F9" s="546">
        <v>70111</v>
      </c>
      <c r="G9" s="525" t="s">
        <v>998</v>
      </c>
      <c r="H9" s="548">
        <f>'[1]ANNEXURE 2'!R66</f>
        <v>1421215270.0100002</v>
      </c>
      <c r="I9" s="548">
        <f>'[1]ANNEXURE 2'!M66</f>
        <v>994384841.87</v>
      </c>
      <c r="J9" s="21">
        <f t="shared" ref="J9:J72" si="0">H9-I9</f>
        <v>426830428.14000022</v>
      </c>
      <c r="K9" s="536"/>
      <c r="L9" s="536"/>
    </row>
    <row r="10" spans="1:12" s="537" customFormat="1" ht="20.100000000000001" customHeight="1">
      <c r="A10" s="545"/>
      <c r="B10" s="634"/>
      <c r="C10" s="635"/>
      <c r="D10" s="634"/>
      <c r="E10" s="637"/>
      <c r="F10" s="546">
        <v>70112</v>
      </c>
      <c r="G10" s="525" t="s">
        <v>999</v>
      </c>
      <c r="H10" s="21">
        <f>'[1]ANNEXURE 2'!R97</f>
        <v>8505470838.3299999</v>
      </c>
      <c r="I10" s="548">
        <f>'[1]ANNEXURE 2'!M97</f>
        <v>12946711041.110001</v>
      </c>
      <c r="J10" s="21">
        <f t="shared" si="0"/>
        <v>-4441240202.7800007</v>
      </c>
      <c r="K10" s="536"/>
      <c r="L10" s="536"/>
    </row>
    <row r="11" spans="1:12" s="537" customFormat="1" ht="20.100000000000001" customHeight="1">
      <c r="A11" s="545"/>
      <c r="B11" s="634"/>
      <c r="C11" s="635"/>
      <c r="D11" s="634"/>
      <c r="E11" s="638"/>
      <c r="F11" s="546">
        <v>70113</v>
      </c>
      <c r="G11" s="525" t="s">
        <v>1147</v>
      </c>
      <c r="H11" s="21">
        <v>0</v>
      </c>
      <c r="I11" s="548">
        <v>0</v>
      </c>
      <c r="J11" s="21">
        <f t="shared" si="0"/>
        <v>0</v>
      </c>
      <c r="K11" s="536"/>
      <c r="L11" s="536"/>
    </row>
    <row r="12" spans="1:12" s="537" customFormat="1" ht="20.100000000000001" customHeight="1">
      <c r="A12" s="545"/>
      <c r="B12" s="634"/>
      <c r="C12" s="635"/>
      <c r="D12" s="634">
        <v>7012</v>
      </c>
      <c r="E12" s="636" t="s">
        <v>1000</v>
      </c>
      <c r="F12" s="546">
        <v>70121</v>
      </c>
      <c r="G12" s="525" t="s">
        <v>1001</v>
      </c>
      <c r="H12" s="21">
        <v>0</v>
      </c>
      <c r="I12" s="548">
        <v>0</v>
      </c>
      <c r="J12" s="21">
        <f t="shared" si="0"/>
        <v>0</v>
      </c>
      <c r="K12" s="536"/>
      <c r="L12" s="536"/>
    </row>
    <row r="13" spans="1:12" s="537" customFormat="1" ht="20.100000000000001" customHeight="1">
      <c r="A13" s="545"/>
      <c r="B13" s="634"/>
      <c r="C13" s="635"/>
      <c r="D13" s="634"/>
      <c r="E13" s="638"/>
      <c r="F13" s="546">
        <v>70122</v>
      </c>
      <c r="G13" s="525" t="s">
        <v>1002</v>
      </c>
      <c r="H13" s="21">
        <f>'[1]ANNEXURE 2'!R107</f>
        <v>49965165.659999996</v>
      </c>
      <c r="I13" s="21">
        <f>'[1]ANNEXURE 2'!M107</f>
        <v>12458744.32</v>
      </c>
      <c r="J13" s="21">
        <f t="shared" si="0"/>
        <v>37506421.339999996</v>
      </c>
      <c r="K13" s="536"/>
      <c r="L13" s="536"/>
    </row>
    <row r="14" spans="1:12" s="537" customFormat="1" ht="20.100000000000001" customHeight="1">
      <c r="A14" s="545"/>
      <c r="B14" s="634"/>
      <c r="C14" s="635"/>
      <c r="D14" s="634">
        <v>7013</v>
      </c>
      <c r="E14" s="636" t="s">
        <v>1003</v>
      </c>
      <c r="F14" s="546">
        <v>70131</v>
      </c>
      <c r="G14" s="525" t="s">
        <v>1004</v>
      </c>
      <c r="H14" s="21">
        <f>'[1]ANNEXURE 2'!R126</f>
        <v>7796125725.6900005</v>
      </c>
      <c r="I14" s="21">
        <f>'[1]ANNEXURE 2'!M126</f>
        <v>5821230835.4899998</v>
      </c>
      <c r="J14" s="21">
        <f t="shared" si="0"/>
        <v>1974894890.2000008</v>
      </c>
      <c r="K14" s="536"/>
      <c r="L14" s="536"/>
    </row>
    <row r="15" spans="1:12" s="537" customFormat="1" ht="20.100000000000001" customHeight="1">
      <c r="A15" s="545"/>
      <c r="B15" s="634"/>
      <c r="C15" s="635"/>
      <c r="D15" s="634"/>
      <c r="E15" s="637"/>
      <c r="F15" s="546">
        <v>70132</v>
      </c>
      <c r="G15" s="525" t="s">
        <v>1005</v>
      </c>
      <c r="H15" s="21">
        <f>'[1]ANNEXURE 2'!R132</f>
        <v>1306863158.4100001</v>
      </c>
      <c r="I15" s="21">
        <f>'[1]ANNEXURE 2'!M132</f>
        <v>30869706.039999999</v>
      </c>
      <c r="J15" s="21">
        <f t="shared" si="0"/>
        <v>1275993452.3700001</v>
      </c>
      <c r="K15" s="536"/>
      <c r="L15" s="536"/>
    </row>
    <row r="16" spans="1:12" s="537" customFormat="1" ht="20.100000000000001" customHeight="1">
      <c r="A16" s="545"/>
      <c r="B16" s="634"/>
      <c r="C16" s="635"/>
      <c r="D16" s="634"/>
      <c r="E16" s="638"/>
      <c r="F16" s="546">
        <v>70133</v>
      </c>
      <c r="G16" s="525" t="s">
        <v>1006</v>
      </c>
      <c r="H16" s="21">
        <f>'[1]ANNEXURE 2'!R138</f>
        <v>122912937.14</v>
      </c>
      <c r="I16" s="21">
        <f>'[1]ANNEXURE 2'!M138</f>
        <v>50731091.849999994</v>
      </c>
      <c r="J16" s="21">
        <f t="shared" si="0"/>
        <v>72181845.290000007</v>
      </c>
      <c r="K16" s="536"/>
      <c r="L16" s="536"/>
    </row>
    <row r="17" spans="1:12" s="537" customFormat="1" ht="20.100000000000001" customHeight="1">
      <c r="A17" s="545"/>
      <c r="B17" s="634"/>
      <c r="C17" s="635"/>
      <c r="D17" s="546">
        <v>7014</v>
      </c>
      <c r="E17" s="549" t="s">
        <v>1007</v>
      </c>
      <c r="F17" s="550">
        <v>70140</v>
      </c>
      <c r="G17" s="525" t="s">
        <v>1007</v>
      </c>
      <c r="H17" s="21">
        <v>0</v>
      </c>
      <c r="I17" s="548">
        <v>0</v>
      </c>
      <c r="J17" s="21">
        <f t="shared" si="0"/>
        <v>0</v>
      </c>
      <c r="K17" s="536"/>
      <c r="L17" s="536"/>
    </row>
    <row r="18" spans="1:12" s="537" customFormat="1" ht="20.100000000000001" customHeight="1">
      <c r="A18" s="545"/>
      <c r="B18" s="634"/>
      <c r="C18" s="635"/>
      <c r="D18" s="546">
        <v>7015</v>
      </c>
      <c r="E18" s="551" t="s">
        <v>1008</v>
      </c>
      <c r="F18" s="552">
        <v>70150</v>
      </c>
      <c r="G18" s="525" t="s">
        <v>1008</v>
      </c>
      <c r="H18" s="21">
        <v>0</v>
      </c>
      <c r="I18" s="548">
        <v>0</v>
      </c>
      <c r="J18" s="21">
        <f t="shared" si="0"/>
        <v>0</v>
      </c>
      <c r="K18" s="536"/>
      <c r="L18" s="536"/>
    </row>
    <row r="19" spans="1:12" s="537" customFormat="1" ht="20.100000000000001" customHeight="1">
      <c r="A19" s="545"/>
      <c r="B19" s="634"/>
      <c r="C19" s="635"/>
      <c r="D19" s="546">
        <v>7016</v>
      </c>
      <c r="E19" s="551" t="s">
        <v>1009</v>
      </c>
      <c r="F19" s="552">
        <v>70160</v>
      </c>
      <c r="G19" s="525" t="s">
        <v>1010</v>
      </c>
      <c r="H19" s="21">
        <f>'[1]ANNEXURE 2'!R146</f>
        <v>1204780392.49</v>
      </c>
      <c r="I19" s="21">
        <f>'[1]ANNEXURE 2'!M146</f>
        <v>681546554.29999995</v>
      </c>
      <c r="J19" s="21">
        <f t="shared" si="0"/>
        <v>523233838.19000006</v>
      </c>
      <c r="K19" s="536"/>
      <c r="L19" s="536"/>
    </row>
    <row r="20" spans="1:12" s="537" customFormat="1" ht="20.100000000000001" customHeight="1">
      <c r="A20" s="545"/>
      <c r="B20" s="634"/>
      <c r="C20" s="635"/>
      <c r="D20" s="546">
        <v>7017</v>
      </c>
      <c r="E20" s="551" t="s">
        <v>1011</v>
      </c>
      <c r="F20" s="552">
        <v>70170</v>
      </c>
      <c r="G20" s="525" t="s">
        <v>1011</v>
      </c>
      <c r="H20" s="21">
        <v>0</v>
      </c>
      <c r="I20" s="548"/>
      <c r="J20" s="21">
        <f t="shared" si="0"/>
        <v>0</v>
      </c>
      <c r="K20" s="536"/>
      <c r="L20" s="536"/>
    </row>
    <row r="21" spans="1:12" s="537" customFormat="1" ht="20.100000000000001" customHeight="1">
      <c r="A21" s="545"/>
      <c r="B21" s="634"/>
      <c r="C21" s="635"/>
      <c r="D21" s="546">
        <v>7018</v>
      </c>
      <c r="E21" s="551" t="s">
        <v>1012</v>
      </c>
      <c r="F21" s="552">
        <v>70180</v>
      </c>
      <c r="G21" s="525" t="s">
        <v>1012</v>
      </c>
      <c r="H21" s="21">
        <v>0</v>
      </c>
      <c r="I21" s="548"/>
      <c r="J21" s="21">
        <f t="shared" si="0"/>
        <v>0</v>
      </c>
      <c r="K21" s="536"/>
      <c r="L21" s="536"/>
    </row>
    <row r="22" spans="1:12" s="537" customFormat="1" ht="20.100000000000001" customHeight="1">
      <c r="A22" s="534"/>
      <c r="B22" s="639" t="s">
        <v>1013</v>
      </c>
      <c r="C22" s="640"/>
      <c r="D22" s="640"/>
      <c r="E22" s="640"/>
      <c r="F22" s="640"/>
      <c r="G22" s="641"/>
      <c r="H22" s="553">
        <f>SUM(H8:H21)</f>
        <v>27384446320.209999</v>
      </c>
      <c r="I22" s="553">
        <f>SUM(I8:I21)</f>
        <v>24256075610.539997</v>
      </c>
      <c r="J22" s="553">
        <f>SUM(J8:J21)</f>
        <v>3128370709.6699996</v>
      </c>
      <c r="K22" s="536"/>
      <c r="L22" s="536"/>
    </row>
    <row r="23" spans="1:12" s="537" customFormat="1" ht="20.100000000000001" customHeight="1">
      <c r="A23" s="545"/>
      <c r="B23" s="634">
        <v>703</v>
      </c>
      <c r="C23" s="636" t="s">
        <v>1014</v>
      </c>
      <c r="D23" s="546">
        <v>7031</v>
      </c>
      <c r="E23" s="549" t="s">
        <v>1015</v>
      </c>
      <c r="F23" s="550">
        <v>70310</v>
      </c>
      <c r="G23" s="525" t="s">
        <v>1015</v>
      </c>
      <c r="H23" s="21">
        <v>0</v>
      </c>
      <c r="I23" s="548">
        <v>0</v>
      </c>
      <c r="J23" s="21">
        <f t="shared" ref="J23:J28" si="1">H23-I23</f>
        <v>0</v>
      </c>
      <c r="K23" s="536"/>
      <c r="L23" s="536"/>
    </row>
    <row r="24" spans="1:12" s="537" customFormat="1" ht="20.100000000000001" customHeight="1">
      <c r="A24" s="545"/>
      <c r="B24" s="634"/>
      <c r="C24" s="637"/>
      <c r="D24" s="546">
        <v>7032</v>
      </c>
      <c r="E24" s="551" t="s">
        <v>1016</v>
      </c>
      <c r="F24" s="552">
        <v>70320</v>
      </c>
      <c r="G24" s="525" t="s">
        <v>1017</v>
      </c>
      <c r="H24" s="21">
        <f>'[1]ANNEXURE 2'!R150</f>
        <v>4803380.34</v>
      </c>
      <c r="I24" s="21">
        <f>'[1]ANNEXURE 2'!M150</f>
        <v>2400000</v>
      </c>
      <c r="J24" s="21">
        <f t="shared" si="1"/>
        <v>2403380.34</v>
      </c>
      <c r="K24" s="536"/>
      <c r="L24" s="536"/>
    </row>
    <row r="25" spans="1:12" s="537" customFormat="1" ht="20.100000000000001" customHeight="1">
      <c r="A25" s="545"/>
      <c r="B25" s="634"/>
      <c r="C25" s="637"/>
      <c r="D25" s="546">
        <v>7033</v>
      </c>
      <c r="E25" s="551" t="s">
        <v>1018</v>
      </c>
      <c r="F25" s="552">
        <v>70330</v>
      </c>
      <c r="G25" s="525" t="s">
        <v>1019</v>
      </c>
      <c r="H25" s="21">
        <f>'[1]ANNEXURE 2'!R153</f>
        <v>1387216870.3399999</v>
      </c>
      <c r="I25" s="21">
        <f>'[1]ANNEXURE 2'!M153</f>
        <v>1025319698</v>
      </c>
      <c r="J25" s="21">
        <f t="shared" si="1"/>
        <v>361897172.33999991</v>
      </c>
      <c r="K25" s="536"/>
      <c r="L25" s="536"/>
    </row>
    <row r="26" spans="1:12" s="27" customFormat="1" ht="20.100000000000001" customHeight="1">
      <c r="A26" s="545"/>
      <c r="B26" s="634"/>
      <c r="C26" s="637"/>
      <c r="D26" s="546">
        <v>7034</v>
      </c>
      <c r="E26" s="551" t="s">
        <v>1020</v>
      </c>
      <c r="F26" s="552">
        <v>70340</v>
      </c>
      <c r="G26" s="525" t="s">
        <v>1020</v>
      </c>
      <c r="H26" s="21">
        <v>0</v>
      </c>
      <c r="I26" s="548"/>
      <c r="J26" s="21">
        <f t="shared" si="1"/>
        <v>0</v>
      </c>
      <c r="K26" s="265"/>
      <c r="L26" s="265"/>
    </row>
    <row r="27" spans="1:12" s="27" customFormat="1" ht="20.100000000000001" customHeight="1">
      <c r="A27" s="545"/>
      <c r="B27" s="634"/>
      <c r="C27" s="637"/>
      <c r="D27" s="546">
        <v>7035</v>
      </c>
      <c r="E27" s="551" t="s">
        <v>1021</v>
      </c>
      <c r="F27" s="552">
        <v>70350</v>
      </c>
      <c r="G27" s="525" t="s">
        <v>1021</v>
      </c>
      <c r="H27" s="21">
        <v>0</v>
      </c>
      <c r="I27" s="548"/>
      <c r="J27" s="21">
        <f t="shared" si="1"/>
        <v>0</v>
      </c>
      <c r="K27" s="265"/>
      <c r="L27" s="265"/>
    </row>
    <row r="28" spans="1:12" s="27" customFormat="1" ht="20.100000000000001" customHeight="1">
      <c r="A28" s="545"/>
      <c r="B28" s="634"/>
      <c r="C28" s="638"/>
      <c r="D28" s="546">
        <v>7036</v>
      </c>
      <c r="E28" s="551" t="s">
        <v>1022</v>
      </c>
      <c r="F28" s="552">
        <v>70360</v>
      </c>
      <c r="G28" s="525" t="s">
        <v>1022</v>
      </c>
      <c r="H28" s="21">
        <v>0</v>
      </c>
      <c r="I28" s="548"/>
      <c r="J28" s="21">
        <f t="shared" si="1"/>
        <v>0</v>
      </c>
      <c r="K28" s="265"/>
      <c r="L28" s="265"/>
    </row>
    <row r="29" spans="1:12" s="27" customFormat="1" ht="20.100000000000001" customHeight="1">
      <c r="A29" s="534"/>
      <c r="B29" s="642" t="s">
        <v>1023</v>
      </c>
      <c r="C29" s="642"/>
      <c r="D29" s="642"/>
      <c r="E29" s="642"/>
      <c r="F29" s="642"/>
      <c r="G29" s="642"/>
      <c r="H29" s="554">
        <f>SUM(H23:H28)</f>
        <v>1392020250.6799998</v>
      </c>
      <c r="I29" s="554">
        <f>SUM(I23:I28)</f>
        <v>1027719698</v>
      </c>
      <c r="J29" s="554">
        <f>SUM(J23:J28)</f>
        <v>364300552.67999989</v>
      </c>
      <c r="K29" s="265"/>
      <c r="L29" s="265"/>
    </row>
    <row r="30" spans="1:12" s="27" customFormat="1" ht="20.100000000000001" customHeight="1">
      <c r="A30" s="545"/>
      <c r="B30" s="634">
        <v>704</v>
      </c>
      <c r="C30" s="636" t="s">
        <v>1024</v>
      </c>
      <c r="D30" s="634">
        <v>7041</v>
      </c>
      <c r="E30" s="643" t="s">
        <v>1025</v>
      </c>
      <c r="F30" s="546">
        <v>70411</v>
      </c>
      <c r="G30" s="525" t="s">
        <v>1026</v>
      </c>
      <c r="H30" s="21">
        <f>'[1]ANNEXURE 2'!R179</f>
        <v>3385889173.9700003</v>
      </c>
      <c r="I30" s="21">
        <f>'[1]ANNEXURE 2'!M179</f>
        <v>522293241.08999997</v>
      </c>
      <c r="J30" s="21">
        <f t="shared" si="0"/>
        <v>2863595932.8800001</v>
      </c>
      <c r="K30" s="265"/>
      <c r="L30" s="265"/>
    </row>
    <row r="31" spans="1:12" s="27" customFormat="1" ht="20.100000000000001" customHeight="1">
      <c r="A31" s="545"/>
      <c r="B31" s="634"/>
      <c r="C31" s="637"/>
      <c r="D31" s="634"/>
      <c r="E31" s="644"/>
      <c r="F31" s="546">
        <v>70412</v>
      </c>
      <c r="G31" s="525" t="s">
        <v>1027</v>
      </c>
      <c r="H31" s="21">
        <f>'[1]ANNEXURE 2'!R182</f>
        <v>877093638.52999997</v>
      </c>
      <c r="I31" s="21">
        <f>'[1]ANNEXURE 2'!M182</f>
        <v>683635710</v>
      </c>
      <c r="J31" s="21">
        <f t="shared" si="0"/>
        <v>193457928.52999997</v>
      </c>
      <c r="K31" s="265"/>
      <c r="L31" s="265"/>
    </row>
    <row r="32" spans="1:12" s="27" customFormat="1" ht="20.100000000000001" customHeight="1">
      <c r="A32" s="545"/>
      <c r="B32" s="634"/>
      <c r="C32" s="637"/>
      <c r="D32" s="634">
        <v>7042</v>
      </c>
      <c r="E32" s="636" t="s">
        <v>1028</v>
      </c>
      <c r="F32" s="546">
        <v>70421</v>
      </c>
      <c r="G32" s="525" t="s">
        <v>1029</v>
      </c>
      <c r="H32" s="21">
        <f>'[1]ANNEXURE 2'!R188</f>
        <v>1115967762.3799999</v>
      </c>
      <c r="I32" s="21">
        <f>'[1]ANNEXURE 2'!M188</f>
        <v>474077224.82999998</v>
      </c>
      <c r="J32" s="21">
        <f t="shared" si="0"/>
        <v>641890537.54999995</v>
      </c>
      <c r="K32" s="265"/>
      <c r="L32" s="265"/>
    </row>
    <row r="33" spans="1:12" s="27" customFormat="1" ht="20.100000000000001" customHeight="1">
      <c r="A33" s="545"/>
      <c r="B33" s="634"/>
      <c r="C33" s="637"/>
      <c r="D33" s="634"/>
      <c r="E33" s="637"/>
      <c r="F33" s="546">
        <v>70422</v>
      </c>
      <c r="G33" s="525" t="s">
        <v>1030</v>
      </c>
      <c r="H33" s="21">
        <f>'[1]ANNEXURE 2'!R198</f>
        <v>517596021.56</v>
      </c>
      <c r="I33" s="21">
        <f>'[1]ANNEXURE 2'!M198</f>
        <v>191287292.68000001</v>
      </c>
      <c r="J33" s="21">
        <f t="shared" si="0"/>
        <v>326308728.88</v>
      </c>
      <c r="K33" s="265"/>
      <c r="L33" s="265"/>
    </row>
    <row r="34" spans="1:12" s="27" customFormat="1" ht="20.100000000000001" customHeight="1">
      <c r="A34" s="545"/>
      <c r="B34" s="634"/>
      <c r="C34" s="637"/>
      <c r="D34" s="634"/>
      <c r="E34" s="638"/>
      <c r="F34" s="546">
        <v>70423</v>
      </c>
      <c r="G34" s="525" t="s">
        <v>1031</v>
      </c>
      <c r="H34" s="21">
        <v>0</v>
      </c>
      <c r="I34" s="548">
        <v>0</v>
      </c>
      <c r="J34" s="21">
        <f t="shared" si="0"/>
        <v>0</v>
      </c>
      <c r="K34" s="265"/>
      <c r="L34" s="265"/>
    </row>
    <row r="35" spans="1:12" s="27" customFormat="1" ht="20.100000000000001" customHeight="1">
      <c r="A35" s="545"/>
      <c r="B35" s="634"/>
      <c r="C35" s="637"/>
      <c r="D35" s="634">
        <v>7043</v>
      </c>
      <c r="E35" s="636" t="s">
        <v>1032</v>
      </c>
      <c r="F35" s="546">
        <v>70431</v>
      </c>
      <c r="G35" s="525" t="s">
        <v>1033</v>
      </c>
      <c r="H35" s="21">
        <v>0</v>
      </c>
      <c r="I35" s="548">
        <v>0</v>
      </c>
      <c r="J35" s="21">
        <f t="shared" si="0"/>
        <v>0</v>
      </c>
      <c r="K35" s="265"/>
      <c r="L35" s="265"/>
    </row>
    <row r="36" spans="1:12" s="27" customFormat="1" ht="20.100000000000001" customHeight="1">
      <c r="A36" s="545"/>
      <c r="B36" s="634"/>
      <c r="C36" s="637"/>
      <c r="D36" s="634"/>
      <c r="E36" s="637"/>
      <c r="F36" s="546">
        <v>70432</v>
      </c>
      <c r="G36" s="525" t="s">
        <v>1034</v>
      </c>
      <c r="H36" s="21">
        <v>0</v>
      </c>
      <c r="I36" s="548">
        <v>0</v>
      </c>
      <c r="J36" s="21">
        <f t="shared" si="0"/>
        <v>0</v>
      </c>
      <c r="K36" s="265"/>
      <c r="L36" s="265"/>
    </row>
    <row r="37" spans="1:12" s="27" customFormat="1" ht="20.100000000000001" customHeight="1">
      <c r="A37" s="545"/>
      <c r="B37" s="634"/>
      <c r="C37" s="637"/>
      <c r="D37" s="634"/>
      <c r="E37" s="637"/>
      <c r="F37" s="546">
        <v>70433</v>
      </c>
      <c r="G37" s="525" t="s">
        <v>1035</v>
      </c>
      <c r="H37" s="21">
        <v>0</v>
      </c>
      <c r="I37" s="548">
        <v>0</v>
      </c>
      <c r="J37" s="21">
        <f t="shared" si="0"/>
        <v>0</v>
      </c>
      <c r="K37" s="265"/>
      <c r="L37" s="265"/>
    </row>
    <row r="38" spans="1:12" s="27" customFormat="1" ht="20.100000000000001" customHeight="1">
      <c r="A38" s="545"/>
      <c r="B38" s="634"/>
      <c r="C38" s="637"/>
      <c r="D38" s="634"/>
      <c r="E38" s="637"/>
      <c r="F38" s="546">
        <v>70434</v>
      </c>
      <c r="G38" s="525" t="s">
        <v>1036</v>
      </c>
      <c r="H38" s="21">
        <v>0</v>
      </c>
      <c r="I38" s="548">
        <v>0</v>
      </c>
      <c r="J38" s="21">
        <f t="shared" si="0"/>
        <v>0</v>
      </c>
      <c r="K38" s="265"/>
      <c r="L38" s="265"/>
    </row>
    <row r="39" spans="1:12" s="27" customFormat="1" ht="20.100000000000001" customHeight="1">
      <c r="A39" s="545"/>
      <c r="B39" s="634"/>
      <c r="C39" s="637"/>
      <c r="D39" s="634"/>
      <c r="E39" s="637"/>
      <c r="F39" s="546">
        <v>70435</v>
      </c>
      <c r="G39" s="525" t="s">
        <v>1037</v>
      </c>
      <c r="H39" s="21">
        <f>'[1]ANNEXURE 2'!R201</f>
        <v>322630338.68000001</v>
      </c>
      <c r="I39" s="21">
        <f>'[1]ANNEXURE 2'!M201</f>
        <v>325138157.30000001</v>
      </c>
      <c r="J39" s="21">
        <f t="shared" si="0"/>
        <v>-2507818.6200000048</v>
      </c>
      <c r="K39" s="265"/>
      <c r="L39" s="265"/>
    </row>
    <row r="40" spans="1:12" s="27" customFormat="1" ht="20.100000000000001" customHeight="1">
      <c r="A40" s="545"/>
      <c r="B40" s="634"/>
      <c r="C40" s="637"/>
      <c r="D40" s="634"/>
      <c r="E40" s="638"/>
      <c r="F40" s="546">
        <v>70436</v>
      </c>
      <c r="G40" s="525" t="s">
        <v>1038</v>
      </c>
      <c r="H40" s="21">
        <v>0</v>
      </c>
      <c r="I40" s="548">
        <v>0</v>
      </c>
      <c r="J40" s="21">
        <f t="shared" si="0"/>
        <v>0</v>
      </c>
      <c r="K40" s="265"/>
      <c r="L40" s="265"/>
    </row>
    <row r="41" spans="1:12" s="27" customFormat="1" ht="20.100000000000001" customHeight="1">
      <c r="A41" s="545"/>
      <c r="B41" s="634"/>
      <c r="C41" s="637"/>
      <c r="D41" s="634">
        <v>7044</v>
      </c>
      <c r="E41" s="636" t="s">
        <v>1039</v>
      </c>
      <c r="F41" s="546">
        <v>70441</v>
      </c>
      <c r="G41" s="525" t="s">
        <v>1040</v>
      </c>
      <c r="H41" s="21">
        <v>0</v>
      </c>
      <c r="I41" s="548">
        <v>0</v>
      </c>
      <c r="J41" s="21">
        <f t="shared" si="0"/>
        <v>0</v>
      </c>
      <c r="K41" s="265"/>
      <c r="L41" s="265"/>
    </row>
    <row r="42" spans="1:12" s="27" customFormat="1" ht="20.100000000000001" customHeight="1">
      <c r="A42" s="545"/>
      <c r="B42" s="634"/>
      <c r="C42" s="637"/>
      <c r="D42" s="634"/>
      <c r="E42" s="637"/>
      <c r="F42" s="546">
        <v>70442</v>
      </c>
      <c r="G42" s="525" t="s">
        <v>1041</v>
      </c>
      <c r="H42" s="21">
        <v>0</v>
      </c>
      <c r="I42" s="548">
        <v>0</v>
      </c>
      <c r="J42" s="21">
        <f t="shared" si="0"/>
        <v>0</v>
      </c>
      <c r="K42" s="265"/>
      <c r="L42" s="265"/>
    </row>
    <row r="43" spans="1:12" s="27" customFormat="1" ht="20.100000000000001" customHeight="1">
      <c r="A43" s="545"/>
      <c r="B43" s="634"/>
      <c r="C43" s="637"/>
      <c r="D43" s="634"/>
      <c r="E43" s="638"/>
      <c r="F43" s="546">
        <v>70443</v>
      </c>
      <c r="G43" s="525" t="s">
        <v>1042</v>
      </c>
      <c r="H43" s="21">
        <f>'[1]ANNEXURE 2'!R206</f>
        <v>13891165670.27</v>
      </c>
      <c r="I43" s="21">
        <f>'[1]ANNEXURE 2'!M206</f>
        <v>6709636011.5600004</v>
      </c>
      <c r="J43" s="21">
        <f t="shared" si="0"/>
        <v>7181529658.71</v>
      </c>
      <c r="K43" s="265"/>
      <c r="L43" s="265"/>
    </row>
    <row r="44" spans="1:12" s="27" customFormat="1" ht="20.100000000000001" customHeight="1">
      <c r="A44" s="545"/>
      <c r="B44" s="634"/>
      <c r="C44" s="637"/>
      <c r="D44" s="634">
        <v>7045</v>
      </c>
      <c r="E44" s="636" t="s">
        <v>1043</v>
      </c>
      <c r="F44" s="546">
        <v>70451</v>
      </c>
      <c r="G44" s="525" t="s">
        <v>1044</v>
      </c>
      <c r="H44" s="21">
        <f>'[1]ANNEXURE 2'!R209</f>
        <v>1466182.38</v>
      </c>
      <c r="I44" s="21">
        <f>'[1]ANNEXURE 2'!M209</f>
        <v>624000</v>
      </c>
      <c r="J44" s="21">
        <f t="shared" si="0"/>
        <v>842182.37999999989</v>
      </c>
      <c r="K44" s="265"/>
      <c r="L44" s="265"/>
    </row>
    <row r="45" spans="1:12" s="27" customFormat="1" ht="20.100000000000001" customHeight="1">
      <c r="A45" s="545"/>
      <c r="B45" s="634"/>
      <c r="C45" s="637"/>
      <c r="D45" s="634"/>
      <c r="E45" s="637"/>
      <c r="F45" s="546">
        <v>70452</v>
      </c>
      <c r="G45" s="525" t="s">
        <v>1045</v>
      </c>
      <c r="H45" s="21">
        <f>'[1]ANNEXURE 2'!R211</f>
        <v>48061521.149999999</v>
      </c>
      <c r="I45" s="21">
        <f>'[1]ANNEXURE 2'!M211</f>
        <v>21975000</v>
      </c>
      <c r="J45" s="21">
        <f t="shared" si="0"/>
        <v>26086521.149999999</v>
      </c>
      <c r="K45" s="265"/>
      <c r="L45" s="265"/>
    </row>
    <row r="46" spans="1:12" s="27" customFormat="1" ht="20.100000000000001" customHeight="1">
      <c r="A46" s="545"/>
      <c r="B46" s="634"/>
      <c r="C46" s="637"/>
      <c r="D46" s="634"/>
      <c r="E46" s="637"/>
      <c r="F46" s="546">
        <v>70453</v>
      </c>
      <c r="G46" s="525" t="s">
        <v>1046</v>
      </c>
      <c r="H46" s="21">
        <v>0</v>
      </c>
      <c r="I46" s="548">
        <v>0</v>
      </c>
      <c r="J46" s="21">
        <f t="shared" si="0"/>
        <v>0</v>
      </c>
      <c r="K46" s="265"/>
      <c r="L46" s="265"/>
    </row>
    <row r="47" spans="1:12" s="27" customFormat="1" ht="20.100000000000001" customHeight="1">
      <c r="A47" s="545"/>
      <c r="B47" s="634"/>
      <c r="C47" s="637"/>
      <c r="D47" s="634"/>
      <c r="E47" s="637"/>
      <c r="F47" s="546">
        <v>70454</v>
      </c>
      <c r="G47" s="525" t="s">
        <v>1047</v>
      </c>
      <c r="H47" s="21">
        <v>0</v>
      </c>
      <c r="I47" s="548">
        <v>0</v>
      </c>
      <c r="J47" s="21">
        <f t="shared" si="0"/>
        <v>0</v>
      </c>
      <c r="K47" s="265"/>
      <c r="L47" s="265"/>
    </row>
    <row r="48" spans="1:12" s="27" customFormat="1" ht="20.100000000000001" customHeight="1">
      <c r="A48" s="545"/>
      <c r="B48" s="634"/>
      <c r="C48" s="637"/>
      <c r="D48" s="634"/>
      <c r="E48" s="638"/>
      <c r="F48" s="546">
        <v>70455</v>
      </c>
      <c r="G48" s="525" t="s">
        <v>1048</v>
      </c>
      <c r="H48" s="21">
        <v>0</v>
      </c>
      <c r="I48" s="548">
        <v>0</v>
      </c>
      <c r="J48" s="21">
        <f t="shared" si="0"/>
        <v>0</v>
      </c>
      <c r="K48" s="265"/>
      <c r="L48" s="265"/>
    </row>
    <row r="49" spans="1:12" s="27" customFormat="1" ht="20.100000000000001" customHeight="1">
      <c r="A49" s="545"/>
      <c r="B49" s="634"/>
      <c r="C49" s="637"/>
      <c r="D49" s="546">
        <v>7046</v>
      </c>
      <c r="E49" s="549" t="s">
        <v>1049</v>
      </c>
      <c r="F49" s="546">
        <v>70460</v>
      </c>
      <c r="G49" s="525" t="s">
        <v>1049</v>
      </c>
      <c r="H49" s="21">
        <f>'[1]ANNEXURE 2'!R217</f>
        <v>905778982.08000004</v>
      </c>
      <c r="I49" s="21">
        <f>'[1]ANNEXURE 2'!M217</f>
        <v>362343715.44999999</v>
      </c>
      <c r="J49" s="21">
        <f t="shared" si="0"/>
        <v>543435266.63000011</v>
      </c>
      <c r="K49" s="265"/>
      <c r="L49" s="265"/>
    </row>
    <row r="50" spans="1:12" s="27" customFormat="1" ht="20.100000000000001" customHeight="1">
      <c r="A50" s="545"/>
      <c r="B50" s="634"/>
      <c r="C50" s="637"/>
      <c r="D50" s="634">
        <v>7047</v>
      </c>
      <c r="E50" s="636" t="s">
        <v>1050</v>
      </c>
      <c r="F50" s="555">
        <v>70471</v>
      </c>
      <c r="G50" s="525" t="s">
        <v>1051</v>
      </c>
      <c r="H50" s="21">
        <v>0</v>
      </c>
      <c r="I50" s="21">
        <v>0</v>
      </c>
      <c r="J50" s="21">
        <f t="shared" si="0"/>
        <v>0</v>
      </c>
      <c r="K50" s="265"/>
      <c r="L50" s="265"/>
    </row>
    <row r="51" spans="1:12" s="27" customFormat="1" ht="20.100000000000001" customHeight="1">
      <c r="A51" s="545"/>
      <c r="B51" s="634"/>
      <c r="C51" s="637"/>
      <c r="D51" s="634"/>
      <c r="E51" s="637"/>
      <c r="F51" s="556">
        <v>70472</v>
      </c>
      <c r="G51" s="525" t="s">
        <v>1052</v>
      </c>
      <c r="H51" s="21">
        <v>0</v>
      </c>
      <c r="I51" s="21">
        <v>0</v>
      </c>
      <c r="J51" s="21">
        <f t="shared" si="0"/>
        <v>0</v>
      </c>
      <c r="K51" s="265"/>
      <c r="L51" s="265"/>
    </row>
    <row r="52" spans="1:12" s="27" customFormat="1" ht="20.100000000000001" customHeight="1">
      <c r="A52" s="545"/>
      <c r="B52" s="634"/>
      <c r="C52" s="637"/>
      <c r="D52" s="634"/>
      <c r="E52" s="637"/>
      <c r="F52" s="556">
        <v>70473</v>
      </c>
      <c r="G52" s="525" t="s">
        <v>1053</v>
      </c>
      <c r="H52" s="21">
        <v>0</v>
      </c>
      <c r="I52" s="21">
        <v>0</v>
      </c>
      <c r="J52" s="21">
        <f t="shared" si="0"/>
        <v>0</v>
      </c>
      <c r="K52" s="265"/>
      <c r="L52" s="265"/>
    </row>
    <row r="53" spans="1:12" s="27" customFormat="1" ht="20.100000000000001" customHeight="1">
      <c r="A53" s="545"/>
      <c r="B53" s="634"/>
      <c r="C53" s="637"/>
      <c r="D53" s="634"/>
      <c r="E53" s="638"/>
      <c r="F53" s="552">
        <v>70474</v>
      </c>
      <c r="G53" s="525" t="s">
        <v>1054</v>
      </c>
      <c r="H53" s="21">
        <v>0</v>
      </c>
      <c r="I53" s="21">
        <v>0</v>
      </c>
      <c r="J53" s="21">
        <f t="shared" si="0"/>
        <v>0</v>
      </c>
      <c r="K53" s="265"/>
      <c r="L53" s="265"/>
    </row>
    <row r="54" spans="1:12" s="27" customFormat="1" ht="20.100000000000001" customHeight="1">
      <c r="A54" s="545"/>
      <c r="B54" s="634"/>
      <c r="C54" s="637"/>
      <c r="D54" s="634">
        <v>7048</v>
      </c>
      <c r="E54" s="643" t="s">
        <v>1055</v>
      </c>
      <c r="F54" s="556">
        <v>70481</v>
      </c>
      <c r="G54" s="525" t="s">
        <v>1056</v>
      </c>
      <c r="H54" s="21">
        <v>0</v>
      </c>
      <c r="I54" s="21">
        <v>0</v>
      </c>
      <c r="J54" s="21">
        <f t="shared" si="0"/>
        <v>0</v>
      </c>
      <c r="K54" s="265"/>
      <c r="L54" s="265"/>
    </row>
    <row r="55" spans="1:12" s="27" customFormat="1" ht="20.100000000000001" customHeight="1">
      <c r="A55" s="545"/>
      <c r="B55" s="634"/>
      <c r="C55" s="637"/>
      <c r="D55" s="634"/>
      <c r="E55" s="651"/>
      <c r="F55" s="556">
        <f t="shared" ref="F55:F60" si="2">F54+1</f>
        <v>70482</v>
      </c>
      <c r="G55" s="525" t="s">
        <v>1057</v>
      </c>
      <c r="H55" s="21">
        <v>0</v>
      </c>
      <c r="I55" s="21">
        <v>0</v>
      </c>
      <c r="J55" s="21">
        <f t="shared" si="0"/>
        <v>0</v>
      </c>
      <c r="K55" s="265"/>
      <c r="L55" s="265"/>
    </row>
    <row r="56" spans="1:12" s="27" customFormat="1" ht="20.100000000000001" customHeight="1">
      <c r="A56" s="545"/>
      <c r="B56" s="634"/>
      <c r="C56" s="637"/>
      <c r="D56" s="634"/>
      <c r="E56" s="651"/>
      <c r="F56" s="556">
        <f t="shared" si="2"/>
        <v>70483</v>
      </c>
      <c r="G56" s="525" t="s">
        <v>1058</v>
      </c>
      <c r="H56" s="21">
        <v>0</v>
      </c>
      <c r="I56" s="21">
        <v>0</v>
      </c>
      <c r="J56" s="21">
        <f t="shared" si="0"/>
        <v>0</v>
      </c>
      <c r="K56" s="265"/>
      <c r="L56" s="265"/>
    </row>
    <row r="57" spans="1:12" s="27" customFormat="1" ht="20.100000000000001" customHeight="1">
      <c r="A57" s="545"/>
      <c r="B57" s="634"/>
      <c r="C57" s="637"/>
      <c r="D57" s="634"/>
      <c r="E57" s="651"/>
      <c r="F57" s="556">
        <f t="shared" si="2"/>
        <v>70484</v>
      </c>
      <c r="G57" s="525" t="s">
        <v>1059</v>
      </c>
      <c r="H57" s="21">
        <v>0</v>
      </c>
      <c r="I57" s="21">
        <v>0</v>
      </c>
      <c r="J57" s="21">
        <f t="shared" si="0"/>
        <v>0</v>
      </c>
      <c r="K57" s="265"/>
      <c r="L57" s="265"/>
    </row>
    <row r="58" spans="1:12" s="27" customFormat="1" ht="20.100000000000001" customHeight="1">
      <c r="A58" s="545"/>
      <c r="B58" s="634"/>
      <c r="C58" s="637"/>
      <c r="D58" s="634"/>
      <c r="E58" s="651"/>
      <c r="F58" s="556">
        <f t="shared" si="2"/>
        <v>70485</v>
      </c>
      <c r="G58" s="525" t="s">
        <v>1060</v>
      </c>
      <c r="H58" s="21">
        <v>0</v>
      </c>
      <c r="I58" s="21">
        <v>0</v>
      </c>
      <c r="J58" s="21">
        <f t="shared" si="0"/>
        <v>0</v>
      </c>
      <c r="K58" s="265"/>
      <c r="L58" s="265"/>
    </row>
    <row r="59" spans="1:12" s="27" customFormat="1" ht="20.100000000000001" customHeight="1">
      <c r="A59" s="545"/>
      <c r="B59" s="634"/>
      <c r="C59" s="637"/>
      <c r="D59" s="634"/>
      <c r="E59" s="651"/>
      <c r="F59" s="556">
        <f t="shared" si="2"/>
        <v>70486</v>
      </c>
      <c r="G59" s="525" t="s">
        <v>1061</v>
      </c>
      <c r="H59" s="21">
        <v>0</v>
      </c>
      <c r="I59" s="21">
        <v>0</v>
      </c>
      <c r="J59" s="21">
        <f t="shared" si="0"/>
        <v>0</v>
      </c>
      <c r="K59" s="265"/>
      <c r="L59" s="265"/>
    </row>
    <row r="60" spans="1:12" s="27" customFormat="1" ht="20.100000000000001" customHeight="1">
      <c r="A60" s="545"/>
      <c r="B60" s="634"/>
      <c r="C60" s="637"/>
      <c r="D60" s="634"/>
      <c r="E60" s="644"/>
      <c r="F60" s="552">
        <f t="shared" si="2"/>
        <v>70487</v>
      </c>
      <c r="G60" s="525" t="s">
        <v>1062</v>
      </c>
      <c r="H60" s="21">
        <v>0</v>
      </c>
      <c r="I60" s="21">
        <v>0</v>
      </c>
      <c r="J60" s="21">
        <f t="shared" si="0"/>
        <v>0</v>
      </c>
      <c r="K60" s="265"/>
      <c r="L60" s="265"/>
    </row>
    <row r="61" spans="1:12" s="27" customFormat="1" ht="20.100000000000001" customHeight="1">
      <c r="A61" s="545"/>
      <c r="B61" s="634"/>
      <c r="C61" s="638"/>
      <c r="D61" s="546">
        <v>7049</v>
      </c>
      <c r="E61" s="551" t="s">
        <v>1063</v>
      </c>
      <c r="F61" s="552">
        <v>70490</v>
      </c>
      <c r="G61" s="525" t="s">
        <v>1064</v>
      </c>
      <c r="H61" s="21">
        <v>0</v>
      </c>
      <c r="I61" s="21">
        <v>0</v>
      </c>
      <c r="J61" s="21">
        <f t="shared" si="0"/>
        <v>0</v>
      </c>
      <c r="K61" s="265"/>
      <c r="L61" s="265"/>
    </row>
    <row r="62" spans="1:12" s="27" customFormat="1" ht="20.100000000000001" customHeight="1">
      <c r="A62" s="534"/>
      <c r="B62" s="632" t="s">
        <v>1065</v>
      </c>
      <c r="C62" s="652"/>
      <c r="D62" s="652"/>
      <c r="E62" s="652"/>
      <c r="F62" s="652"/>
      <c r="G62" s="633"/>
      <c r="H62" s="553">
        <f>SUM(H30:H61)</f>
        <v>21065649291.000004</v>
      </c>
      <c r="I62" s="553">
        <f>SUM(I30:I61)</f>
        <v>9291010352.9100018</v>
      </c>
      <c r="J62" s="553">
        <f>SUM(J30:J61)</f>
        <v>11774638938.09</v>
      </c>
      <c r="K62" s="265"/>
      <c r="L62" s="265"/>
    </row>
    <row r="63" spans="1:12" s="27" customFormat="1" ht="20.100000000000001" customHeight="1">
      <c r="A63" s="545"/>
      <c r="B63" s="645">
        <v>705</v>
      </c>
      <c r="C63" s="648" t="s">
        <v>1066</v>
      </c>
      <c r="D63" s="546">
        <v>7051</v>
      </c>
      <c r="E63" s="549" t="s">
        <v>1067</v>
      </c>
      <c r="F63" s="550">
        <v>70510</v>
      </c>
      <c r="G63" s="525" t="s">
        <v>1067</v>
      </c>
      <c r="H63" s="21">
        <f>'[1]ANNEXURE 2'!R222</f>
        <v>210264958.81999999</v>
      </c>
      <c r="I63" s="21">
        <f>'[1]ANNEXURE 2'!M222</f>
        <v>145544082.34</v>
      </c>
      <c r="J63" s="21">
        <f t="shared" si="0"/>
        <v>64720876.479999989</v>
      </c>
      <c r="K63" s="265"/>
      <c r="L63" s="265"/>
    </row>
    <row r="64" spans="1:12" s="27" customFormat="1" ht="20.100000000000001" customHeight="1">
      <c r="A64" s="545"/>
      <c r="B64" s="646"/>
      <c r="C64" s="649"/>
      <c r="D64" s="546">
        <v>7052</v>
      </c>
      <c r="E64" s="551" t="s">
        <v>1068</v>
      </c>
      <c r="F64" s="552">
        <v>70520</v>
      </c>
      <c r="G64" s="525" t="s">
        <v>1068</v>
      </c>
      <c r="H64" s="21">
        <v>0</v>
      </c>
      <c r="I64" s="548">
        <v>0</v>
      </c>
      <c r="J64" s="21">
        <f t="shared" si="0"/>
        <v>0</v>
      </c>
      <c r="K64" s="265"/>
      <c r="L64" s="265"/>
    </row>
    <row r="65" spans="1:12" s="27" customFormat="1" ht="20.100000000000001" customHeight="1">
      <c r="A65" s="545"/>
      <c r="B65" s="646"/>
      <c r="C65" s="649"/>
      <c r="D65" s="546">
        <v>7053</v>
      </c>
      <c r="E65" s="551" t="s">
        <v>1069</v>
      </c>
      <c r="F65" s="552">
        <v>70530</v>
      </c>
      <c r="G65" s="525" t="s">
        <v>1070</v>
      </c>
      <c r="H65" s="21">
        <v>0</v>
      </c>
      <c r="I65" s="548">
        <v>0</v>
      </c>
      <c r="J65" s="21">
        <f t="shared" si="0"/>
        <v>0</v>
      </c>
      <c r="K65" s="265"/>
      <c r="L65" s="265"/>
    </row>
    <row r="66" spans="1:12" s="27" customFormat="1" ht="20.100000000000001" customHeight="1">
      <c r="A66" s="545"/>
      <c r="B66" s="646"/>
      <c r="C66" s="649"/>
      <c r="D66" s="546">
        <v>7054</v>
      </c>
      <c r="E66" s="551" t="s">
        <v>1071</v>
      </c>
      <c r="F66" s="552">
        <v>70540</v>
      </c>
      <c r="G66" s="525" t="s">
        <v>1071</v>
      </c>
      <c r="H66" s="21">
        <v>0</v>
      </c>
      <c r="I66" s="548">
        <v>0</v>
      </c>
      <c r="J66" s="21">
        <f t="shared" si="0"/>
        <v>0</v>
      </c>
      <c r="K66" s="265"/>
      <c r="L66" s="265"/>
    </row>
    <row r="67" spans="1:12" s="27" customFormat="1" ht="20.100000000000001" customHeight="1">
      <c r="A67" s="545"/>
      <c r="B67" s="646"/>
      <c r="C67" s="649"/>
      <c r="D67" s="546">
        <v>7055</v>
      </c>
      <c r="E67" s="551" t="s">
        <v>1072</v>
      </c>
      <c r="F67" s="552">
        <v>70550</v>
      </c>
      <c r="G67" s="525" t="s">
        <v>1072</v>
      </c>
      <c r="H67" s="21">
        <v>0</v>
      </c>
      <c r="I67" s="548">
        <v>0</v>
      </c>
      <c r="J67" s="21">
        <f t="shared" si="0"/>
        <v>0</v>
      </c>
      <c r="K67" s="265"/>
      <c r="L67" s="265"/>
    </row>
    <row r="68" spans="1:12" s="27" customFormat="1" ht="20.100000000000001" customHeight="1">
      <c r="A68" s="545"/>
      <c r="B68" s="647"/>
      <c r="C68" s="650"/>
      <c r="D68" s="546">
        <v>7056</v>
      </c>
      <c r="E68" s="551" t="s">
        <v>1073</v>
      </c>
      <c r="F68" s="552">
        <v>70560</v>
      </c>
      <c r="G68" s="525" t="s">
        <v>1073</v>
      </c>
      <c r="H68" s="21">
        <f>'[1]ANNEXURE 2'!R225</f>
        <v>736294412.38</v>
      </c>
      <c r="I68" s="21">
        <f>'[1]ANNEXURE 2'!M225</f>
        <v>264405704.55000001</v>
      </c>
      <c r="J68" s="21">
        <f t="shared" si="0"/>
        <v>471888707.82999998</v>
      </c>
      <c r="K68" s="265"/>
      <c r="L68" s="265"/>
    </row>
    <row r="69" spans="1:12" s="27" customFormat="1" ht="20.100000000000001" customHeight="1">
      <c r="A69" s="534"/>
      <c r="B69" s="642" t="s">
        <v>1074</v>
      </c>
      <c r="C69" s="642"/>
      <c r="D69" s="642"/>
      <c r="E69" s="642"/>
      <c r="F69" s="642"/>
      <c r="G69" s="642"/>
      <c r="H69" s="554">
        <f>SUM(H63:H68)</f>
        <v>946559371.20000005</v>
      </c>
      <c r="I69" s="554">
        <f>SUM(I63:I68)</f>
        <v>409949786.88999999</v>
      </c>
      <c r="J69" s="554">
        <f>SUM(J63:J68)</f>
        <v>536609584.30999994</v>
      </c>
      <c r="K69" s="265"/>
      <c r="L69" s="265"/>
    </row>
    <row r="70" spans="1:12" s="27" customFormat="1" ht="20.100000000000001" customHeight="1">
      <c r="A70" s="545"/>
      <c r="B70" s="645">
        <v>706</v>
      </c>
      <c r="C70" s="653" t="s">
        <v>1075</v>
      </c>
      <c r="D70" s="546">
        <v>7061</v>
      </c>
      <c r="E70" s="549" t="s">
        <v>1076</v>
      </c>
      <c r="F70" s="546">
        <v>70610</v>
      </c>
      <c r="G70" s="525" t="s">
        <v>1076</v>
      </c>
      <c r="H70" s="21">
        <f>'[1]ANNEXURE 2'!R234</f>
        <v>636615882.75</v>
      </c>
      <c r="I70" s="21">
        <f>'[1]ANNEXURE 2'!M234</f>
        <v>295135249.58000004</v>
      </c>
      <c r="J70" s="21">
        <f t="shared" si="0"/>
        <v>341480633.16999996</v>
      </c>
      <c r="K70" s="265"/>
      <c r="L70" s="265"/>
    </row>
    <row r="71" spans="1:12" s="27" customFormat="1" ht="20.100000000000001" customHeight="1">
      <c r="A71" s="545"/>
      <c r="B71" s="646"/>
      <c r="C71" s="653"/>
      <c r="D71" s="546">
        <v>7062</v>
      </c>
      <c r="E71" s="551" t="s">
        <v>1077</v>
      </c>
      <c r="F71" s="552">
        <v>70620</v>
      </c>
      <c r="G71" s="525" t="s">
        <v>1077</v>
      </c>
      <c r="H71" s="21">
        <f>'[1]ANNEXURE 2'!R244</f>
        <v>293368360.63999993</v>
      </c>
      <c r="I71" s="21">
        <f>'[1]ANNEXURE 2'!M244</f>
        <v>85840337.600000009</v>
      </c>
      <c r="J71" s="21">
        <f t="shared" si="0"/>
        <v>207528023.0399999</v>
      </c>
      <c r="K71" s="265"/>
      <c r="L71" s="265"/>
    </row>
    <row r="72" spans="1:12" s="27" customFormat="1" ht="20.100000000000001" customHeight="1">
      <c r="A72" s="545"/>
      <c r="B72" s="646"/>
      <c r="C72" s="653"/>
      <c r="D72" s="546">
        <v>7063</v>
      </c>
      <c r="E72" s="551" t="s">
        <v>1078</v>
      </c>
      <c r="F72" s="552">
        <v>70630</v>
      </c>
      <c r="G72" s="525" t="s">
        <v>1078</v>
      </c>
      <c r="H72" s="21">
        <f>'[1]ANNEXURE 2'!R251</f>
        <v>1029591074.24</v>
      </c>
      <c r="I72" s="21">
        <f>'[1]ANNEXURE 2'!M251</f>
        <v>2749876412.8500004</v>
      </c>
      <c r="J72" s="21">
        <f t="shared" si="0"/>
        <v>-1720285338.6100004</v>
      </c>
      <c r="K72" s="265"/>
      <c r="L72" s="265"/>
    </row>
    <row r="73" spans="1:12" s="27" customFormat="1" ht="20.100000000000001" customHeight="1">
      <c r="A73" s="545"/>
      <c r="B73" s="646"/>
      <c r="C73" s="653"/>
      <c r="D73" s="546">
        <v>7064</v>
      </c>
      <c r="E73" s="551" t="s">
        <v>1079</v>
      </c>
      <c r="F73" s="552">
        <v>70640</v>
      </c>
      <c r="G73" s="525" t="s">
        <v>1079</v>
      </c>
      <c r="H73" s="21">
        <v>0</v>
      </c>
      <c r="I73" s="548">
        <v>0</v>
      </c>
      <c r="J73" s="21">
        <f t="shared" ref="J73:J124" si="3">H73-I73</f>
        <v>0</v>
      </c>
      <c r="K73" s="265"/>
      <c r="L73" s="265"/>
    </row>
    <row r="74" spans="1:12" s="27" customFormat="1" ht="20.100000000000001" customHeight="1">
      <c r="A74" s="545"/>
      <c r="B74" s="646"/>
      <c r="C74" s="653"/>
      <c r="D74" s="546">
        <v>7065</v>
      </c>
      <c r="E74" s="551" t="s">
        <v>1080</v>
      </c>
      <c r="F74" s="552">
        <v>70650</v>
      </c>
      <c r="G74" s="525" t="s">
        <v>1080</v>
      </c>
      <c r="H74" s="21">
        <v>0</v>
      </c>
      <c r="I74" s="548">
        <v>0</v>
      </c>
      <c r="J74" s="21">
        <f t="shared" si="3"/>
        <v>0</v>
      </c>
      <c r="K74" s="265"/>
      <c r="L74" s="265"/>
    </row>
    <row r="75" spans="1:12" s="27" customFormat="1" ht="20.100000000000001" customHeight="1">
      <c r="A75" s="545"/>
      <c r="B75" s="647"/>
      <c r="C75" s="653"/>
      <c r="D75" s="546">
        <v>7066</v>
      </c>
      <c r="E75" s="551" t="s">
        <v>1081</v>
      </c>
      <c r="F75" s="552">
        <v>70660</v>
      </c>
      <c r="G75" s="525" t="s">
        <v>1081</v>
      </c>
      <c r="H75" s="21">
        <v>0</v>
      </c>
      <c r="I75" s="548">
        <v>0</v>
      </c>
      <c r="J75" s="21">
        <f t="shared" si="3"/>
        <v>0</v>
      </c>
      <c r="K75" s="265"/>
      <c r="L75" s="265"/>
    </row>
    <row r="76" spans="1:12" s="27" customFormat="1" ht="20.100000000000001" customHeight="1">
      <c r="A76" s="534"/>
      <c r="B76" s="632" t="s">
        <v>1082</v>
      </c>
      <c r="C76" s="652"/>
      <c r="D76" s="652"/>
      <c r="E76" s="652"/>
      <c r="F76" s="652"/>
      <c r="G76" s="633"/>
      <c r="H76" s="553">
        <f>SUM(H70:H75)</f>
        <v>1959575317.6299999</v>
      </c>
      <c r="I76" s="553">
        <f>SUM(I70:I75)</f>
        <v>3130852000.0300007</v>
      </c>
      <c r="J76" s="553">
        <f>SUM(J70:J75)</f>
        <v>-1171276682.4000006</v>
      </c>
      <c r="K76" s="265"/>
      <c r="L76" s="265"/>
    </row>
    <row r="77" spans="1:12" s="27" customFormat="1" ht="20.100000000000001" customHeight="1">
      <c r="A77" s="545"/>
      <c r="B77" s="645">
        <v>707</v>
      </c>
      <c r="C77" s="635" t="s">
        <v>1083</v>
      </c>
      <c r="D77" s="634">
        <v>7071</v>
      </c>
      <c r="E77" s="636" t="s">
        <v>1084</v>
      </c>
      <c r="F77" s="546">
        <v>70711</v>
      </c>
      <c r="G77" s="525" t="s">
        <v>1085</v>
      </c>
      <c r="H77" s="21">
        <v>0</v>
      </c>
      <c r="I77" s="548">
        <v>0</v>
      </c>
      <c r="J77" s="21">
        <f t="shared" si="3"/>
        <v>0</v>
      </c>
      <c r="K77" s="265"/>
      <c r="L77" s="265"/>
    </row>
    <row r="78" spans="1:12" s="27" customFormat="1" ht="20.100000000000001" customHeight="1">
      <c r="A78" s="545"/>
      <c r="B78" s="646"/>
      <c r="C78" s="635"/>
      <c r="D78" s="634"/>
      <c r="E78" s="637"/>
      <c r="F78" s="546">
        <f>F77+1</f>
        <v>70712</v>
      </c>
      <c r="G78" s="525" t="s">
        <v>1086</v>
      </c>
      <c r="H78" s="21">
        <v>0</v>
      </c>
      <c r="I78" s="548">
        <v>0</v>
      </c>
      <c r="J78" s="21">
        <f t="shared" si="3"/>
        <v>0</v>
      </c>
      <c r="K78" s="265"/>
      <c r="L78" s="265"/>
    </row>
    <row r="79" spans="1:12" s="27" customFormat="1" ht="20.100000000000001" customHeight="1">
      <c r="A79" s="545"/>
      <c r="B79" s="646"/>
      <c r="C79" s="635"/>
      <c r="D79" s="634"/>
      <c r="E79" s="638"/>
      <c r="F79" s="546">
        <f>F78+1</f>
        <v>70713</v>
      </c>
      <c r="G79" s="525" t="s">
        <v>1087</v>
      </c>
      <c r="H79" s="21">
        <v>0</v>
      </c>
      <c r="I79" s="548">
        <v>0</v>
      </c>
      <c r="J79" s="21">
        <f t="shared" si="3"/>
        <v>0</v>
      </c>
      <c r="K79" s="265"/>
      <c r="L79" s="265"/>
    </row>
    <row r="80" spans="1:12" s="27" customFormat="1" ht="20.100000000000001" customHeight="1">
      <c r="A80" s="545"/>
      <c r="B80" s="646"/>
      <c r="C80" s="635"/>
      <c r="D80" s="634">
        <v>7072</v>
      </c>
      <c r="E80" s="636" t="s">
        <v>1088</v>
      </c>
      <c r="F80" s="546">
        <v>70721</v>
      </c>
      <c r="G80" s="525" t="s">
        <v>1089</v>
      </c>
      <c r="H80" s="21">
        <f>'[1]ANNEXURE 2'!R259</f>
        <v>959893294.67999995</v>
      </c>
      <c r="I80" s="21">
        <f>'[1]ANNEXURE 2'!M259</f>
        <v>375755177.86000001</v>
      </c>
      <c r="J80" s="21">
        <f t="shared" si="3"/>
        <v>584138116.81999993</v>
      </c>
      <c r="K80" s="265"/>
      <c r="L80" s="265"/>
    </row>
    <row r="81" spans="1:12" s="27" customFormat="1" ht="20.100000000000001" customHeight="1">
      <c r="A81" s="545"/>
      <c r="B81" s="646"/>
      <c r="C81" s="635"/>
      <c r="D81" s="634"/>
      <c r="E81" s="637"/>
      <c r="F81" s="546">
        <f>F80+1</f>
        <v>70722</v>
      </c>
      <c r="G81" s="525" t="s">
        <v>1090</v>
      </c>
      <c r="H81" s="21">
        <v>0</v>
      </c>
      <c r="I81" s="548">
        <v>0</v>
      </c>
      <c r="J81" s="21">
        <f t="shared" si="3"/>
        <v>0</v>
      </c>
      <c r="K81" s="265"/>
      <c r="L81" s="265"/>
    </row>
    <row r="82" spans="1:12" s="27" customFormat="1" ht="20.100000000000001" customHeight="1">
      <c r="A82" s="545"/>
      <c r="B82" s="646"/>
      <c r="C82" s="635"/>
      <c r="D82" s="634"/>
      <c r="E82" s="637"/>
      <c r="F82" s="546">
        <f>F81+1</f>
        <v>70723</v>
      </c>
      <c r="G82" s="525" t="s">
        <v>1091</v>
      </c>
      <c r="H82" s="21">
        <v>0</v>
      </c>
      <c r="I82" s="548">
        <v>0</v>
      </c>
      <c r="J82" s="21">
        <f t="shared" si="3"/>
        <v>0</v>
      </c>
      <c r="K82" s="265"/>
      <c r="L82" s="265"/>
    </row>
    <row r="83" spans="1:12" s="27" customFormat="1" ht="20.100000000000001" customHeight="1">
      <c r="A83" s="545"/>
      <c r="B83" s="646"/>
      <c r="C83" s="635"/>
      <c r="D83" s="634"/>
      <c r="E83" s="638"/>
      <c r="F83" s="546">
        <f>F82+1</f>
        <v>70724</v>
      </c>
      <c r="G83" s="525" t="s">
        <v>1092</v>
      </c>
      <c r="H83" s="21">
        <v>0</v>
      </c>
      <c r="I83" s="548">
        <v>0</v>
      </c>
      <c r="J83" s="21">
        <f t="shared" si="3"/>
        <v>0</v>
      </c>
      <c r="K83" s="265"/>
      <c r="L83" s="265"/>
    </row>
    <row r="84" spans="1:12" s="27" customFormat="1" ht="20.100000000000001" customHeight="1">
      <c r="A84" s="545"/>
      <c r="B84" s="646"/>
      <c r="C84" s="635"/>
      <c r="D84" s="634">
        <v>7073</v>
      </c>
      <c r="E84" s="636" t="s">
        <v>1093</v>
      </c>
      <c r="F84" s="546">
        <v>70731</v>
      </c>
      <c r="G84" s="525" t="s">
        <v>1094</v>
      </c>
      <c r="H84" s="21">
        <f>'[1]ANNEXURE 2'!R265</f>
        <v>6585260193.9399996</v>
      </c>
      <c r="I84" s="21">
        <f>'[1]ANNEXURE 2'!M265</f>
        <v>5583945024.5699997</v>
      </c>
      <c r="J84" s="21">
        <f t="shared" si="3"/>
        <v>1001315169.3699999</v>
      </c>
      <c r="K84" s="265"/>
      <c r="L84" s="265"/>
    </row>
    <row r="85" spans="1:12" s="27" customFormat="1" ht="20.100000000000001" customHeight="1">
      <c r="A85" s="545"/>
      <c r="B85" s="646"/>
      <c r="C85" s="635"/>
      <c r="D85" s="634"/>
      <c r="E85" s="637"/>
      <c r="F85" s="546">
        <f>F84+1</f>
        <v>70732</v>
      </c>
      <c r="G85" s="525" t="s">
        <v>1095</v>
      </c>
      <c r="H85" s="21">
        <v>0</v>
      </c>
      <c r="I85" s="548">
        <v>0</v>
      </c>
      <c r="J85" s="21">
        <f t="shared" si="3"/>
        <v>0</v>
      </c>
      <c r="K85" s="265"/>
      <c r="L85" s="265"/>
    </row>
    <row r="86" spans="1:12" s="27" customFormat="1" ht="20.100000000000001" customHeight="1">
      <c r="A86" s="545"/>
      <c r="B86" s="646"/>
      <c r="C86" s="635"/>
      <c r="D86" s="634"/>
      <c r="E86" s="637"/>
      <c r="F86" s="546">
        <f>F85+1</f>
        <v>70733</v>
      </c>
      <c r="G86" s="525" t="s">
        <v>1096</v>
      </c>
      <c r="H86" s="21">
        <v>0</v>
      </c>
      <c r="I86" s="548">
        <v>0</v>
      </c>
      <c r="J86" s="21">
        <f t="shared" si="3"/>
        <v>0</v>
      </c>
      <c r="K86" s="265"/>
      <c r="L86" s="265"/>
    </row>
    <row r="87" spans="1:12" s="27" customFormat="1" ht="20.100000000000001" customHeight="1">
      <c r="A87" s="545"/>
      <c r="B87" s="646"/>
      <c r="C87" s="635"/>
      <c r="D87" s="634"/>
      <c r="E87" s="638"/>
      <c r="F87" s="546">
        <f>F86+1</f>
        <v>70734</v>
      </c>
      <c r="G87" s="525" t="s">
        <v>1097</v>
      </c>
      <c r="H87" s="21">
        <f>'[1]ANNEXURE 2'!R269</f>
        <v>655051651.32000005</v>
      </c>
      <c r="I87" s="21">
        <f>'[1]ANNEXURE 2'!M269</f>
        <v>471647392.20999998</v>
      </c>
      <c r="J87" s="21">
        <f t="shared" si="3"/>
        <v>183404259.11000007</v>
      </c>
      <c r="K87" s="265"/>
      <c r="L87" s="265"/>
    </row>
    <row r="88" spans="1:12" s="27" customFormat="1" ht="20.100000000000001" customHeight="1">
      <c r="A88" s="545"/>
      <c r="B88" s="646"/>
      <c r="C88" s="635"/>
      <c r="D88" s="546">
        <v>7074</v>
      </c>
      <c r="E88" s="551" t="s">
        <v>1098</v>
      </c>
      <c r="F88" s="546">
        <v>70740</v>
      </c>
      <c r="G88" s="525" t="s">
        <v>1098</v>
      </c>
      <c r="H88" s="21">
        <v>0</v>
      </c>
      <c r="I88" s="548">
        <v>0</v>
      </c>
      <c r="J88" s="21">
        <f t="shared" si="3"/>
        <v>0</v>
      </c>
      <c r="K88" s="265"/>
      <c r="L88" s="265"/>
    </row>
    <row r="89" spans="1:12" s="27" customFormat="1" ht="20.100000000000001" customHeight="1">
      <c r="A89" s="545"/>
      <c r="B89" s="646"/>
      <c r="C89" s="635"/>
      <c r="D89" s="546">
        <v>7075</v>
      </c>
      <c r="E89" s="551" t="s">
        <v>1099</v>
      </c>
      <c r="F89" s="546">
        <v>70750</v>
      </c>
      <c r="G89" s="525" t="s">
        <v>1099</v>
      </c>
      <c r="H89" s="21">
        <v>0</v>
      </c>
      <c r="I89" s="548">
        <v>0</v>
      </c>
      <c r="J89" s="21">
        <f t="shared" si="3"/>
        <v>0</v>
      </c>
      <c r="K89" s="265"/>
      <c r="L89" s="265"/>
    </row>
    <row r="90" spans="1:12" s="27" customFormat="1" ht="20.100000000000001" customHeight="1">
      <c r="A90" s="545"/>
      <c r="B90" s="647"/>
      <c r="C90" s="635"/>
      <c r="D90" s="546">
        <v>7076</v>
      </c>
      <c r="E90" s="551" t="s">
        <v>1100</v>
      </c>
      <c r="F90" s="546">
        <v>70760</v>
      </c>
      <c r="G90" s="525" t="s">
        <v>1100</v>
      </c>
      <c r="H90" s="21">
        <v>0</v>
      </c>
      <c r="I90" s="548">
        <v>0</v>
      </c>
      <c r="J90" s="21">
        <f t="shared" si="3"/>
        <v>0</v>
      </c>
      <c r="K90" s="265"/>
      <c r="L90" s="265"/>
    </row>
    <row r="91" spans="1:12" s="27" customFormat="1" ht="20.100000000000001" customHeight="1">
      <c r="A91" s="534"/>
      <c r="B91" s="642" t="s">
        <v>1101</v>
      </c>
      <c r="C91" s="642"/>
      <c r="D91" s="642"/>
      <c r="E91" s="642"/>
      <c r="F91" s="642"/>
      <c r="G91" s="642"/>
      <c r="H91" s="554">
        <f>SUM(H77:H90)</f>
        <v>8200205139.9399996</v>
      </c>
      <c r="I91" s="554">
        <f>SUM(I77:I90)</f>
        <v>6431347594.6399994</v>
      </c>
      <c r="J91" s="554">
        <f>SUM(J77:J90)</f>
        <v>1768857545.3</v>
      </c>
      <c r="K91" s="265"/>
      <c r="L91" s="265"/>
    </row>
    <row r="92" spans="1:12" s="27" customFormat="1" ht="20.100000000000001" customHeight="1">
      <c r="A92" s="545"/>
      <c r="B92" s="654">
        <v>708</v>
      </c>
      <c r="C92" s="653" t="s">
        <v>1102</v>
      </c>
      <c r="D92" s="546">
        <v>7081</v>
      </c>
      <c r="E92" s="547" t="s">
        <v>1103</v>
      </c>
      <c r="F92" s="546">
        <v>70810</v>
      </c>
      <c r="G92" s="525" t="s">
        <v>1103</v>
      </c>
      <c r="H92" s="21">
        <f>'[1]ANNEXURE 2'!R281</f>
        <v>196593974.72</v>
      </c>
      <c r="I92" s="21">
        <f>'[1]ANNEXURE 2'!M281</f>
        <v>236075970.84</v>
      </c>
      <c r="J92" s="21">
        <f t="shared" si="3"/>
        <v>-39481996.120000005</v>
      </c>
      <c r="K92" s="265"/>
      <c r="L92" s="265"/>
    </row>
    <row r="93" spans="1:12" s="27" customFormat="1" ht="20.100000000000001" customHeight="1">
      <c r="A93" s="545"/>
      <c r="B93" s="655"/>
      <c r="C93" s="653"/>
      <c r="D93" s="546">
        <v>7082</v>
      </c>
      <c r="E93" s="551" t="s">
        <v>1104</v>
      </c>
      <c r="F93" s="552">
        <v>70820</v>
      </c>
      <c r="G93" s="525" t="s">
        <v>1104</v>
      </c>
      <c r="H93" s="21">
        <f>'[1]ANNEXURE 2'!R292</f>
        <v>718712919.11999989</v>
      </c>
      <c r="I93" s="21">
        <f>'[1]ANNEXURE 2'!M292</f>
        <v>168517050.70999998</v>
      </c>
      <c r="J93" s="21">
        <f t="shared" si="3"/>
        <v>550195868.40999985</v>
      </c>
      <c r="K93" s="265"/>
      <c r="L93" s="265"/>
    </row>
    <row r="94" spans="1:12" s="27" customFormat="1" ht="20.100000000000001" customHeight="1">
      <c r="A94" s="545"/>
      <c r="B94" s="655"/>
      <c r="C94" s="653"/>
      <c r="D94" s="546">
        <v>7083</v>
      </c>
      <c r="E94" s="551" t="s">
        <v>1105</v>
      </c>
      <c r="F94" s="552">
        <v>70830</v>
      </c>
      <c r="G94" s="525" t="s">
        <v>1105</v>
      </c>
      <c r="H94" s="21">
        <f>'[1]ANNEXURE 2'!R294</f>
        <v>1500000</v>
      </c>
      <c r="I94" s="21">
        <f>'[1]ANNEXURE 2'!M294</f>
        <v>0</v>
      </c>
      <c r="J94" s="21">
        <f t="shared" si="3"/>
        <v>1500000</v>
      </c>
      <c r="K94" s="265"/>
      <c r="L94" s="265"/>
    </row>
    <row r="95" spans="1:12" s="27" customFormat="1" ht="20.100000000000001" customHeight="1">
      <c r="A95" s="545"/>
      <c r="B95" s="655"/>
      <c r="C95" s="653"/>
      <c r="D95" s="546">
        <v>7084</v>
      </c>
      <c r="E95" s="551" t="s">
        <v>1106</v>
      </c>
      <c r="F95" s="552">
        <v>70840</v>
      </c>
      <c r="G95" s="525" t="s">
        <v>1106</v>
      </c>
      <c r="H95" s="21">
        <f>'[1]ANNEXURE 2'!R297</f>
        <v>88100219.109999999</v>
      </c>
      <c r="I95" s="21">
        <f>'[1]ANNEXURE 2'!M297</f>
        <v>24480497.399999999</v>
      </c>
      <c r="J95" s="21">
        <f t="shared" si="3"/>
        <v>63619721.710000001</v>
      </c>
      <c r="K95" s="265"/>
      <c r="L95" s="265"/>
    </row>
    <row r="96" spans="1:12" s="27" customFormat="1" ht="20.100000000000001" customHeight="1">
      <c r="A96" s="545"/>
      <c r="B96" s="655"/>
      <c r="C96" s="653"/>
      <c r="D96" s="546">
        <v>7085</v>
      </c>
      <c r="E96" s="551" t="s">
        <v>1107</v>
      </c>
      <c r="F96" s="552">
        <v>70850</v>
      </c>
      <c r="G96" s="525" t="s">
        <v>1107</v>
      </c>
      <c r="H96" s="21">
        <v>0</v>
      </c>
      <c r="I96" s="548">
        <v>0</v>
      </c>
      <c r="J96" s="21">
        <f t="shared" si="3"/>
        <v>0</v>
      </c>
      <c r="K96" s="265"/>
      <c r="L96" s="265"/>
    </row>
    <row r="97" spans="1:12" s="27" customFormat="1" ht="20.100000000000001" customHeight="1">
      <c r="A97" s="545"/>
      <c r="B97" s="656"/>
      <c r="C97" s="653"/>
      <c r="D97" s="546">
        <v>7086</v>
      </c>
      <c r="E97" s="551" t="s">
        <v>1108</v>
      </c>
      <c r="F97" s="552">
        <v>70860</v>
      </c>
      <c r="G97" s="525" t="s">
        <v>1108</v>
      </c>
      <c r="H97" s="21">
        <v>0</v>
      </c>
      <c r="I97" s="548">
        <v>0</v>
      </c>
      <c r="J97" s="21">
        <f t="shared" si="3"/>
        <v>0</v>
      </c>
      <c r="K97" s="265"/>
      <c r="L97" s="265"/>
    </row>
    <row r="98" spans="1:12" s="27" customFormat="1" ht="20.100000000000001" customHeight="1">
      <c r="A98" s="534"/>
      <c r="B98" s="632" t="s">
        <v>1109</v>
      </c>
      <c r="C98" s="652"/>
      <c r="D98" s="652"/>
      <c r="E98" s="652"/>
      <c r="F98" s="652"/>
      <c r="G98" s="633"/>
      <c r="H98" s="553">
        <f>SUM(H92:H97)</f>
        <v>1004907112.9499999</v>
      </c>
      <c r="I98" s="553">
        <f>SUM(I92:I97)</f>
        <v>429073518.94999993</v>
      </c>
      <c r="J98" s="553">
        <f>SUM(J92:J97)</f>
        <v>575833593.99999988</v>
      </c>
      <c r="K98" s="265"/>
      <c r="L98" s="265"/>
    </row>
    <row r="99" spans="1:12" s="27" customFormat="1" ht="20.100000000000001" customHeight="1">
      <c r="A99" s="545"/>
      <c r="B99" s="654">
        <v>709</v>
      </c>
      <c r="C99" s="635" t="s">
        <v>1110</v>
      </c>
      <c r="D99" s="634">
        <v>7091</v>
      </c>
      <c r="E99" s="636" t="s">
        <v>1111</v>
      </c>
      <c r="F99" s="557">
        <v>70911</v>
      </c>
      <c r="G99" s="525" t="s">
        <v>1112</v>
      </c>
      <c r="H99" s="21">
        <v>0</v>
      </c>
      <c r="I99" s="548">
        <v>0</v>
      </c>
      <c r="J99" s="21">
        <f t="shared" si="3"/>
        <v>0</v>
      </c>
      <c r="K99" s="265"/>
      <c r="L99" s="265"/>
    </row>
    <row r="100" spans="1:12" s="27" customFormat="1" ht="20.100000000000001" customHeight="1">
      <c r="A100" s="545"/>
      <c r="B100" s="655"/>
      <c r="C100" s="635"/>
      <c r="D100" s="634"/>
      <c r="E100" s="638"/>
      <c r="F100" s="552">
        <v>70912</v>
      </c>
      <c r="G100" s="525" t="s">
        <v>1113</v>
      </c>
      <c r="H100" s="21">
        <f>'[1]ANNEXURE 2'!R303</f>
        <v>2537496626.3200002</v>
      </c>
      <c r="I100" s="21">
        <f>'[1]ANNEXURE 2'!M303</f>
        <v>584499020.60000002</v>
      </c>
      <c r="J100" s="21">
        <f t="shared" si="3"/>
        <v>1952997605.7200003</v>
      </c>
      <c r="K100" s="265"/>
      <c r="L100" s="265"/>
    </row>
    <row r="101" spans="1:12" s="27" customFormat="1" ht="20.100000000000001" customHeight="1">
      <c r="A101" s="545"/>
      <c r="B101" s="655"/>
      <c r="C101" s="635"/>
      <c r="D101" s="634">
        <v>7092</v>
      </c>
      <c r="E101" s="636" t="s">
        <v>1114</v>
      </c>
      <c r="F101" s="556">
        <v>70921</v>
      </c>
      <c r="G101" s="525" t="s">
        <v>1115</v>
      </c>
      <c r="H101" s="21">
        <v>0</v>
      </c>
      <c r="I101" s="548">
        <v>0</v>
      </c>
      <c r="J101" s="21">
        <f t="shared" si="3"/>
        <v>0</v>
      </c>
      <c r="K101" s="265"/>
      <c r="L101" s="265"/>
    </row>
    <row r="102" spans="1:12" s="27" customFormat="1" ht="20.100000000000001" customHeight="1">
      <c r="A102" s="545"/>
      <c r="B102" s="655"/>
      <c r="C102" s="635"/>
      <c r="D102" s="634"/>
      <c r="E102" s="638"/>
      <c r="F102" s="552">
        <v>70922</v>
      </c>
      <c r="G102" s="525" t="s">
        <v>1116</v>
      </c>
      <c r="H102" s="21">
        <f>'[1]ANNEXURE 2'!R305</f>
        <v>10417789428.889999</v>
      </c>
      <c r="I102" s="21">
        <f>'[1]ANNEXURE 2'!M305</f>
        <v>9087484631.5700016</v>
      </c>
      <c r="J102" s="21">
        <f t="shared" si="3"/>
        <v>1330304797.3199978</v>
      </c>
      <c r="K102" s="265"/>
      <c r="L102" s="265"/>
    </row>
    <row r="103" spans="1:12" s="27" customFormat="1" ht="20.100000000000001" customHeight="1">
      <c r="A103" s="545"/>
      <c r="B103" s="655"/>
      <c r="C103" s="635"/>
      <c r="D103" s="546">
        <v>7093</v>
      </c>
      <c r="E103" s="551" t="s">
        <v>1117</v>
      </c>
      <c r="F103" s="552">
        <v>70930</v>
      </c>
      <c r="G103" s="525" t="s">
        <v>1117</v>
      </c>
      <c r="H103" s="21">
        <v>0</v>
      </c>
      <c r="I103" s="548">
        <v>0</v>
      </c>
      <c r="J103" s="21">
        <f t="shared" si="3"/>
        <v>0</v>
      </c>
      <c r="K103" s="265"/>
      <c r="L103" s="265"/>
    </row>
    <row r="104" spans="1:12" s="27" customFormat="1" ht="20.100000000000001" customHeight="1">
      <c r="A104" s="545"/>
      <c r="B104" s="655"/>
      <c r="C104" s="635"/>
      <c r="D104" s="657">
        <v>7094</v>
      </c>
      <c r="E104" s="636" t="s">
        <v>1118</v>
      </c>
      <c r="F104" s="556">
        <v>70941</v>
      </c>
      <c r="G104" s="525" t="s">
        <v>1119</v>
      </c>
      <c r="H104" s="21">
        <f>'[1]ANNEXURE 2'!R307</f>
        <v>4268921949.6100001</v>
      </c>
      <c r="I104" s="21">
        <f>'[1]ANNEXURE 2'!M307</f>
        <v>2744703000</v>
      </c>
      <c r="J104" s="21">
        <f t="shared" si="3"/>
        <v>1524218949.6100001</v>
      </c>
      <c r="K104" s="265"/>
      <c r="L104" s="265"/>
    </row>
    <row r="105" spans="1:12" s="27" customFormat="1" ht="20.100000000000001" customHeight="1">
      <c r="A105" s="545"/>
      <c r="B105" s="655"/>
      <c r="C105" s="635"/>
      <c r="D105" s="658"/>
      <c r="E105" s="638"/>
      <c r="F105" s="552">
        <v>70942</v>
      </c>
      <c r="G105" s="525" t="s">
        <v>1120</v>
      </c>
      <c r="H105" s="21">
        <f>'[1]ANNEXURE 2'!R309</f>
        <v>7451125264.1199999</v>
      </c>
      <c r="I105" s="21">
        <f>'[1]ANNEXURE 2'!M309</f>
        <v>7306212296</v>
      </c>
      <c r="J105" s="21">
        <f t="shared" si="3"/>
        <v>144912968.11999989</v>
      </c>
      <c r="K105" s="265"/>
      <c r="L105" s="265"/>
    </row>
    <row r="106" spans="1:12" s="27" customFormat="1" ht="20.100000000000001" customHeight="1">
      <c r="A106" s="545"/>
      <c r="B106" s="655"/>
      <c r="C106" s="635"/>
      <c r="D106" s="546">
        <v>7095</v>
      </c>
      <c r="E106" s="551" t="s">
        <v>1121</v>
      </c>
      <c r="F106" s="552">
        <v>70950</v>
      </c>
      <c r="G106" s="525" t="s">
        <v>1121</v>
      </c>
      <c r="H106" s="21">
        <v>0</v>
      </c>
      <c r="I106" s="548">
        <v>0</v>
      </c>
      <c r="J106" s="21">
        <f t="shared" si="3"/>
        <v>0</v>
      </c>
      <c r="K106" s="265"/>
      <c r="L106" s="265"/>
    </row>
    <row r="107" spans="1:12" s="27" customFormat="1" ht="20.100000000000001" customHeight="1">
      <c r="A107" s="545"/>
      <c r="B107" s="655"/>
      <c r="C107" s="635"/>
      <c r="D107" s="546">
        <v>7096</v>
      </c>
      <c r="E107" s="551" t="s">
        <v>1122</v>
      </c>
      <c r="F107" s="552">
        <v>70960</v>
      </c>
      <c r="G107" s="525" t="s">
        <v>1122</v>
      </c>
      <c r="H107" s="21">
        <f>'[1]ANNEXURE 2'!R322</f>
        <v>3578904234.0299997</v>
      </c>
      <c r="I107" s="21">
        <f>'[1]ANNEXURE 2'!M322</f>
        <v>2246368412.6700001</v>
      </c>
      <c r="J107" s="21">
        <f t="shared" si="3"/>
        <v>1332535821.3599997</v>
      </c>
      <c r="K107" s="265"/>
      <c r="L107" s="265"/>
    </row>
    <row r="108" spans="1:12" s="27" customFormat="1" ht="20.100000000000001" customHeight="1">
      <c r="A108" s="545"/>
      <c r="B108" s="655"/>
      <c r="C108" s="635"/>
      <c r="D108" s="546">
        <v>7097</v>
      </c>
      <c r="E108" s="551" t="s">
        <v>1123</v>
      </c>
      <c r="F108" s="552">
        <v>70970</v>
      </c>
      <c r="G108" s="525" t="s">
        <v>1123</v>
      </c>
      <c r="H108" s="21">
        <f>'[1]ANNEXURE 2'!R325</f>
        <v>4061177298.23</v>
      </c>
      <c r="I108" s="21">
        <f>'[1]ANNEXURE 2'!M325</f>
        <v>3569509287.4900002</v>
      </c>
      <c r="J108" s="21">
        <f t="shared" si="3"/>
        <v>491668010.73999977</v>
      </c>
      <c r="K108" s="265"/>
      <c r="L108" s="265"/>
    </row>
    <row r="109" spans="1:12" s="27" customFormat="1" ht="20.100000000000001" customHeight="1">
      <c r="A109" s="545"/>
      <c r="B109" s="656"/>
      <c r="C109" s="635"/>
      <c r="D109" s="546">
        <v>7098</v>
      </c>
      <c r="E109" s="551" t="s">
        <v>1124</v>
      </c>
      <c r="F109" s="552">
        <v>70980</v>
      </c>
      <c r="G109" s="525" t="s">
        <v>1124</v>
      </c>
      <c r="H109" s="21">
        <v>0</v>
      </c>
      <c r="I109" s="548">
        <v>0</v>
      </c>
      <c r="J109" s="21">
        <f t="shared" si="3"/>
        <v>0</v>
      </c>
      <c r="K109" s="265"/>
      <c r="L109" s="265"/>
    </row>
    <row r="110" spans="1:12" s="27" customFormat="1" ht="20.100000000000001" customHeight="1">
      <c r="A110" s="534"/>
      <c r="B110" s="642" t="s">
        <v>1125</v>
      </c>
      <c r="C110" s="642"/>
      <c r="D110" s="642"/>
      <c r="E110" s="642"/>
      <c r="F110" s="642"/>
      <c r="G110" s="642"/>
      <c r="H110" s="554">
        <f>SUM(H99:H109)</f>
        <v>32315414801.199997</v>
      </c>
      <c r="I110" s="554">
        <f>SUM(I99:I109)</f>
        <v>25538776648.330006</v>
      </c>
      <c r="J110" s="554">
        <f>SUM(J99:J109)</f>
        <v>6776638152.869997</v>
      </c>
      <c r="K110" s="265"/>
      <c r="L110" s="265"/>
    </row>
    <row r="111" spans="1:12" s="27" customFormat="1" ht="20.100000000000001" customHeight="1">
      <c r="A111" s="545"/>
      <c r="B111" s="645">
        <v>710</v>
      </c>
      <c r="C111" s="635" t="s">
        <v>1126</v>
      </c>
      <c r="D111" s="634">
        <v>7101</v>
      </c>
      <c r="E111" s="636" t="s">
        <v>1127</v>
      </c>
      <c r="F111" s="546">
        <v>71011</v>
      </c>
      <c r="G111" s="525" t="s">
        <v>1128</v>
      </c>
      <c r="H111" s="21">
        <v>0</v>
      </c>
      <c r="I111" s="21">
        <v>0</v>
      </c>
      <c r="J111" s="21">
        <f t="shared" si="3"/>
        <v>0</v>
      </c>
      <c r="K111" s="265"/>
      <c r="L111" s="265"/>
    </row>
    <row r="112" spans="1:12" s="27" customFormat="1" ht="20.100000000000001" customHeight="1">
      <c r="A112" s="545"/>
      <c r="B112" s="646"/>
      <c r="C112" s="635"/>
      <c r="D112" s="634"/>
      <c r="E112" s="638"/>
      <c r="F112" s="552">
        <v>71012</v>
      </c>
      <c r="G112" s="526" t="s">
        <v>1129</v>
      </c>
      <c r="H112" s="558">
        <v>0</v>
      </c>
      <c r="I112" s="21">
        <v>0</v>
      </c>
      <c r="J112" s="558">
        <f t="shared" si="3"/>
        <v>0</v>
      </c>
      <c r="K112" s="265"/>
      <c r="L112" s="265"/>
    </row>
    <row r="113" spans="1:12" s="27" customFormat="1" ht="20.100000000000001" customHeight="1">
      <c r="A113" s="545"/>
      <c r="B113" s="646"/>
      <c r="C113" s="635"/>
      <c r="D113" s="546">
        <v>7102</v>
      </c>
      <c r="E113" s="551" t="s">
        <v>1130</v>
      </c>
      <c r="F113" s="552">
        <v>71020</v>
      </c>
      <c r="G113" s="525" t="s">
        <v>1130</v>
      </c>
      <c r="H113" s="21">
        <v>0</v>
      </c>
      <c r="I113" s="21">
        <v>0</v>
      </c>
      <c r="J113" s="21">
        <f t="shared" si="3"/>
        <v>0</v>
      </c>
      <c r="K113" s="265"/>
      <c r="L113" s="265"/>
    </row>
    <row r="114" spans="1:12" s="27" customFormat="1" ht="20.100000000000001" customHeight="1">
      <c r="A114" s="545"/>
      <c r="B114" s="646"/>
      <c r="C114" s="635"/>
      <c r="D114" s="546">
        <v>7103</v>
      </c>
      <c r="E114" s="551" t="s">
        <v>1131</v>
      </c>
      <c r="F114" s="552">
        <v>71030</v>
      </c>
      <c r="G114" s="525" t="s">
        <v>1131</v>
      </c>
      <c r="H114" s="21">
        <v>0</v>
      </c>
      <c r="I114" s="21">
        <v>0</v>
      </c>
      <c r="J114" s="21">
        <f t="shared" si="3"/>
        <v>0</v>
      </c>
      <c r="K114" s="265"/>
      <c r="L114" s="265"/>
    </row>
    <row r="115" spans="1:12" s="27" customFormat="1" ht="20.100000000000001" customHeight="1">
      <c r="A115" s="545"/>
      <c r="B115" s="646"/>
      <c r="C115" s="635"/>
      <c r="D115" s="546">
        <v>7104</v>
      </c>
      <c r="E115" s="551" t="s">
        <v>1132</v>
      </c>
      <c r="F115" s="552">
        <v>71040</v>
      </c>
      <c r="G115" s="525" t="s">
        <v>1132</v>
      </c>
      <c r="H115" s="21">
        <v>0</v>
      </c>
      <c r="I115" s="21">
        <v>0</v>
      </c>
      <c r="J115" s="21">
        <f t="shared" si="3"/>
        <v>0</v>
      </c>
      <c r="K115" s="265"/>
      <c r="L115" s="265"/>
    </row>
    <row r="116" spans="1:12" s="27" customFormat="1" ht="20.100000000000001" customHeight="1">
      <c r="A116" s="545"/>
      <c r="B116" s="646"/>
      <c r="C116" s="635"/>
      <c r="D116" s="546">
        <v>7105</v>
      </c>
      <c r="E116" s="551" t="s">
        <v>1133</v>
      </c>
      <c r="F116" s="552">
        <v>71050</v>
      </c>
      <c r="G116" s="525" t="s">
        <v>1133</v>
      </c>
      <c r="H116" s="21">
        <v>0</v>
      </c>
      <c r="I116" s="21">
        <v>0</v>
      </c>
      <c r="J116" s="21">
        <f t="shared" si="3"/>
        <v>0</v>
      </c>
      <c r="K116" s="265"/>
      <c r="L116" s="265"/>
    </row>
    <row r="117" spans="1:12" s="27" customFormat="1" ht="20.100000000000001" customHeight="1">
      <c r="A117" s="545"/>
      <c r="B117" s="646"/>
      <c r="C117" s="635"/>
      <c r="D117" s="546">
        <v>7106</v>
      </c>
      <c r="E117" s="551" t="s">
        <v>1134</v>
      </c>
      <c r="F117" s="552">
        <v>71060</v>
      </c>
      <c r="G117" s="525" t="s">
        <v>1134</v>
      </c>
      <c r="H117" s="21">
        <v>0</v>
      </c>
      <c r="I117" s="21">
        <v>0</v>
      </c>
      <c r="J117" s="21">
        <f t="shared" si="3"/>
        <v>0</v>
      </c>
      <c r="K117" s="265"/>
      <c r="L117" s="265"/>
    </row>
    <row r="118" spans="1:12" s="27" customFormat="1" ht="20.100000000000001" customHeight="1">
      <c r="A118" s="545"/>
      <c r="B118" s="646"/>
      <c r="C118" s="635"/>
      <c r="D118" s="546">
        <v>7107</v>
      </c>
      <c r="E118" s="551" t="s">
        <v>1135</v>
      </c>
      <c r="F118" s="552">
        <v>71070</v>
      </c>
      <c r="G118" s="525" t="s">
        <v>1135</v>
      </c>
      <c r="H118" s="21">
        <v>0</v>
      </c>
      <c r="I118" s="21">
        <v>0</v>
      </c>
      <c r="J118" s="21">
        <f t="shared" si="3"/>
        <v>0</v>
      </c>
      <c r="K118" s="265"/>
      <c r="L118" s="265"/>
    </row>
    <row r="119" spans="1:12" s="27" customFormat="1" ht="20.100000000000001" customHeight="1">
      <c r="A119" s="545"/>
      <c r="B119" s="646"/>
      <c r="C119" s="635"/>
      <c r="D119" s="546">
        <v>7108</v>
      </c>
      <c r="E119" s="551" t="s">
        <v>1136</v>
      </c>
      <c r="F119" s="552">
        <v>71080</v>
      </c>
      <c r="G119" s="525" t="s">
        <v>1136</v>
      </c>
      <c r="H119" s="21">
        <v>0</v>
      </c>
      <c r="I119" s="21">
        <v>0</v>
      </c>
      <c r="J119" s="21">
        <f t="shared" si="3"/>
        <v>0</v>
      </c>
      <c r="K119" s="265"/>
      <c r="L119" s="265"/>
    </row>
    <row r="120" spans="1:12" s="27" customFormat="1" ht="20.100000000000001" customHeight="1">
      <c r="A120" s="545"/>
      <c r="B120" s="647"/>
      <c r="C120" s="635"/>
      <c r="D120" s="546">
        <v>7109</v>
      </c>
      <c r="E120" s="551" t="s">
        <v>1137</v>
      </c>
      <c r="F120" s="552">
        <v>71090</v>
      </c>
      <c r="G120" s="525" t="s">
        <v>1137</v>
      </c>
      <c r="H120" s="21">
        <f>'[1]ANNEXURE 2'!R332</f>
        <v>732715840.42000008</v>
      </c>
      <c r="I120" s="21">
        <f>'[1]ANNEXURE 2'!M332</f>
        <v>395511760.17000002</v>
      </c>
      <c r="J120" s="21">
        <f t="shared" si="3"/>
        <v>337204080.25000006</v>
      </c>
      <c r="K120" s="265"/>
      <c r="L120" s="265"/>
    </row>
    <row r="121" spans="1:12" s="27" customFormat="1" ht="20.100000000000001" customHeight="1">
      <c r="A121" s="534"/>
      <c r="B121" s="559"/>
      <c r="C121" s="560"/>
      <c r="D121" s="538"/>
      <c r="E121" s="561" t="s">
        <v>1138</v>
      </c>
      <c r="F121" s="538"/>
      <c r="G121" s="527"/>
      <c r="H121" s="554">
        <f>SUM(H111:H120)</f>
        <v>732715840.42000008</v>
      </c>
      <c r="I121" s="554">
        <f>SUM(I111:I120)</f>
        <v>395511760.17000002</v>
      </c>
      <c r="J121" s="554">
        <f>SUM(J111:J120)</f>
        <v>337204080.25000006</v>
      </c>
      <c r="K121" s="265"/>
      <c r="L121" s="265"/>
    </row>
    <row r="122" spans="1:12" s="27" customFormat="1" ht="20.100000000000001" customHeight="1">
      <c r="A122" s="534"/>
      <c r="B122" s="559"/>
      <c r="C122" s="560"/>
      <c r="D122" s="538"/>
      <c r="E122" s="561" t="s">
        <v>1139</v>
      </c>
      <c r="F122" s="538"/>
      <c r="G122" s="527"/>
      <c r="H122" s="554">
        <f>'[1]ANNEXURE 2'!R333</f>
        <v>12022863958.4</v>
      </c>
      <c r="I122" s="554">
        <f>'[1]ANNEXURE 2'!M333</f>
        <v>7288322497.7599993</v>
      </c>
      <c r="J122" s="554">
        <f t="shared" si="3"/>
        <v>4734541460.6400003</v>
      </c>
      <c r="K122" s="265"/>
      <c r="L122" s="265"/>
    </row>
    <row r="123" spans="1:12" s="27" customFormat="1" ht="20.100000000000001" customHeight="1">
      <c r="A123" s="534"/>
      <c r="B123" s="559"/>
      <c r="C123" s="560"/>
      <c r="D123" s="538"/>
      <c r="E123" s="562" t="s">
        <v>1329</v>
      </c>
      <c r="F123" s="538"/>
      <c r="G123" s="527"/>
      <c r="H123" s="554">
        <f>'[1]ANNEXURE 2'!R337</f>
        <v>68760477.489999995</v>
      </c>
      <c r="I123" s="554">
        <f>'[1]ANNEXURE 2'!M337</f>
        <v>45884272.840000004</v>
      </c>
      <c r="J123" s="554">
        <f t="shared" si="3"/>
        <v>22876204.649999991</v>
      </c>
      <c r="K123" s="265"/>
      <c r="L123" s="265"/>
    </row>
    <row r="124" spans="1:12" s="27" customFormat="1" ht="20.100000000000001" customHeight="1">
      <c r="A124" s="534"/>
      <c r="B124" s="559"/>
      <c r="C124" s="560"/>
      <c r="D124" s="538"/>
      <c r="E124" s="562" t="s">
        <v>333</v>
      </c>
      <c r="F124" s="538"/>
      <c r="G124" s="527"/>
      <c r="H124" s="554">
        <f>'[1]ANNEXURE 2'!R336</f>
        <v>1444954932.4000001</v>
      </c>
      <c r="I124" s="554">
        <f>'[1]ANNEXURE 2'!M335</f>
        <v>715699581.29999995</v>
      </c>
      <c r="J124" s="554">
        <f t="shared" si="3"/>
        <v>729255351.10000014</v>
      </c>
      <c r="K124" s="265"/>
      <c r="L124" s="265"/>
    </row>
    <row r="125" spans="1:12" s="27" customFormat="1" ht="20.100000000000001" customHeight="1">
      <c r="A125" s="534"/>
      <c r="B125" s="559"/>
      <c r="C125" s="560"/>
      <c r="D125" s="538"/>
      <c r="E125" s="561" t="s">
        <v>335</v>
      </c>
      <c r="F125" s="538"/>
      <c r="G125" s="527"/>
      <c r="H125" s="554">
        <f>H123+H122+H121+H110+H98+H91+H76+H69+H62+H29+H22+H124</f>
        <v>108538072813.51999</v>
      </c>
      <c r="I125" s="554">
        <f>I123+I122+I121+I110+I98+I91+I76+I69+I62+I29+I22+I124</f>
        <v>78960223322.360001</v>
      </c>
      <c r="J125" s="554">
        <f>J123+J122+J121+J110+J98+J91+J76+J69+J62+J29+J22+J124</f>
        <v>29577849491.159988</v>
      </c>
      <c r="K125" s="265"/>
      <c r="L125" s="265"/>
    </row>
    <row r="126" spans="1:12" s="27" customFormat="1" ht="20.100000000000001" customHeight="1">
      <c r="A126" s="534"/>
      <c r="B126" s="559"/>
      <c r="C126" s="560"/>
      <c r="D126" s="538"/>
      <c r="E126" s="561" t="s">
        <v>1140</v>
      </c>
      <c r="F126" s="538"/>
      <c r="G126" s="527"/>
      <c r="H126" s="554"/>
      <c r="I126" s="554"/>
      <c r="J126" s="554"/>
      <c r="K126" s="265"/>
      <c r="L126" s="265"/>
    </row>
    <row r="127" spans="1:12" s="27" customFormat="1" ht="20.100000000000001" customHeight="1">
      <c r="A127" s="545"/>
      <c r="B127" s="563"/>
      <c r="C127" s="564"/>
      <c r="D127" s="546"/>
      <c r="E127" s="561" t="s">
        <v>776</v>
      </c>
      <c r="F127" s="538"/>
      <c r="G127" s="527" t="s">
        <v>1141</v>
      </c>
      <c r="H127" s="554"/>
      <c r="I127" s="554">
        <f>'[1]ANNEXURE 2'!M338</f>
        <v>-501901159.48000002</v>
      </c>
      <c r="J127" s="554">
        <f>H127-I127</f>
        <v>501901159.48000002</v>
      </c>
      <c r="K127" s="265"/>
      <c r="L127" s="265"/>
    </row>
    <row r="128" spans="1:12" s="27" customFormat="1" ht="20.100000000000001" customHeight="1">
      <c r="A128" s="545"/>
      <c r="B128" s="563"/>
      <c r="C128" s="564"/>
      <c r="D128" s="546"/>
      <c r="E128" s="561" t="s">
        <v>335</v>
      </c>
      <c r="F128" s="538"/>
      <c r="G128" s="527"/>
      <c r="H128" s="554">
        <f>H125+H126+H127</f>
        <v>108538072813.51999</v>
      </c>
      <c r="I128" s="554">
        <f>I125+I126+I127</f>
        <v>78458322162.880005</v>
      </c>
      <c r="J128" s="554">
        <f>J125+J126+J127</f>
        <v>30079750650.639988</v>
      </c>
      <c r="K128" s="265"/>
      <c r="L128" s="265"/>
    </row>
    <row r="129" spans="1:10" ht="15.75">
      <c r="A129" s="529"/>
      <c r="B129" s="529"/>
      <c r="C129" s="530"/>
      <c r="D129" s="531"/>
      <c r="E129" s="532"/>
      <c r="F129" s="531"/>
      <c r="G129" s="565"/>
      <c r="H129" s="533"/>
      <c r="I129" s="533"/>
      <c r="J129" s="533"/>
    </row>
  </sheetData>
  <mergeCells count="66">
    <mergeCell ref="B110:G110"/>
    <mergeCell ref="B111:B120"/>
    <mergeCell ref="C111:C120"/>
    <mergeCell ref="D111:D112"/>
    <mergeCell ref="E111:E112"/>
    <mergeCell ref="B99:B109"/>
    <mergeCell ref="C99:C109"/>
    <mergeCell ref="D99:D100"/>
    <mergeCell ref="E99:E100"/>
    <mergeCell ref="D101:D102"/>
    <mergeCell ref="E101:E102"/>
    <mergeCell ref="D104:D105"/>
    <mergeCell ref="E104:E105"/>
    <mergeCell ref="B98:G98"/>
    <mergeCell ref="B69:G69"/>
    <mergeCell ref="B70:B75"/>
    <mergeCell ref="C70:C75"/>
    <mergeCell ref="B76:G76"/>
    <mergeCell ref="B77:B90"/>
    <mergeCell ref="C77:C90"/>
    <mergeCell ref="D77:D79"/>
    <mergeCell ref="E77:E79"/>
    <mergeCell ref="D80:D83"/>
    <mergeCell ref="E80:E83"/>
    <mergeCell ref="D84:D87"/>
    <mergeCell ref="E84:E87"/>
    <mergeCell ref="B91:G91"/>
    <mergeCell ref="B92:B97"/>
    <mergeCell ref="C92:C97"/>
    <mergeCell ref="B63:B68"/>
    <mergeCell ref="C63:C68"/>
    <mergeCell ref="D35:D40"/>
    <mergeCell ref="E35:E40"/>
    <mergeCell ref="D41:D43"/>
    <mergeCell ref="E41:E43"/>
    <mergeCell ref="D44:D48"/>
    <mergeCell ref="E44:E48"/>
    <mergeCell ref="D50:D53"/>
    <mergeCell ref="E50:E53"/>
    <mergeCell ref="D54:D60"/>
    <mergeCell ref="E54:E60"/>
    <mergeCell ref="B62:G62"/>
    <mergeCell ref="B22:G22"/>
    <mergeCell ref="B23:B28"/>
    <mergeCell ref="C23:C28"/>
    <mergeCell ref="B29:G29"/>
    <mergeCell ref="B30:B61"/>
    <mergeCell ref="C30:C61"/>
    <mergeCell ref="D30:D31"/>
    <mergeCell ref="E30:E31"/>
    <mergeCell ref="D32:D34"/>
    <mergeCell ref="E32:E34"/>
    <mergeCell ref="B8:B21"/>
    <mergeCell ref="C8:C21"/>
    <mergeCell ref="D8:D11"/>
    <mergeCell ref="E8:E11"/>
    <mergeCell ref="D12:D13"/>
    <mergeCell ref="E12:E13"/>
    <mergeCell ref="D14:D16"/>
    <mergeCell ref="E14:E16"/>
    <mergeCell ref="B1:J1"/>
    <mergeCell ref="B2:J2"/>
    <mergeCell ref="B3:J3"/>
    <mergeCell ref="B5:C5"/>
    <mergeCell ref="D5:E5"/>
    <mergeCell ref="F5:G5"/>
  </mergeCells>
  <pageMargins left="0.5" right="0.5" top="0.75" bottom="0.5" header="0.3" footer="0.5"/>
  <pageSetup paperSize="9" firstPageNumber="123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339"/>
  <sheetViews>
    <sheetView workbookViewId="0">
      <selection activeCell="E15" sqref="E15"/>
    </sheetView>
  </sheetViews>
  <sheetFormatPr defaultRowHeight="15"/>
  <cols>
    <col min="1" max="1" width="2.85546875" style="511" customWidth="1"/>
    <col min="2" max="2" width="10.5703125" style="170" customWidth="1"/>
    <col min="3" max="3" width="8.7109375" style="360" customWidth="1"/>
    <col min="4" max="4" width="43.7109375" style="377" customWidth="1"/>
    <col min="5" max="5" width="15.7109375" style="377" customWidth="1"/>
    <col min="6" max="11" width="15.7109375" style="377" hidden="1" customWidth="1"/>
    <col min="12" max="12" width="14.5703125" style="281" customWidth="1"/>
    <col min="13" max="13" width="15" style="566" customWidth="1"/>
    <col min="14" max="17" width="15.7109375" style="566" hidden="1" customWidth="1"/>
    <col min="18" max="18" width="15.5703125" style="200" customWidth="1"/>
    <col min="19" max="19" width="14.5703125" style="200" customWidth="1"/>
    <col min="20" max="20" width="9.5703125" style="511" hidden="1" customWidth="1"/>
    <col min="21" max="16384" width="9.140625" style="511"/>
  </cols>
  <sheetData>
    <row r="1" spans="1:20" ht="24.95" customHeight="1">
      <c r="B1" s="599" t="s">
        <v>0</v>
      </c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599"/>
      <c r="O1" s="599"/>
      <c r="P1" s="599"/>
      <c r="Q1" s="599"/>
      <c r="R1" s="599"/>
      <c r="S1" s="599"/>
    </row>
    <row r="2" spans="1:20" ht="24.95" customHeight="1">
      <c r="B2" s="600" t="s">
        <v>1571</v>
      </c>
      <c r="C2" s="600"/>
      <c r="D2" s="600"/>
      <c r="E2" s="600"/>
      <c r="F2" s="600"/>
      <c r="G2" s="600"/>
      <c r="H2" s="600"/>
      <c r="I2" s="600"/>
      <c r="J2" s="600"/>
      <c r="K2" s="600"/>
      <c r="L2" s="600"/>
      <c r="M2" s="600"/>
      <c r="N2" s="600"/>
      <c r="O2" s="600"/>
      <c r="P2" s="600"/>
      <c r="Q2" s="600"/>
      <c r="R2" s="600"/>
      <c r="S2" s="600"/>
    </row>
    <row r="3" spans="1:20" ht="24.95" customHeight="1">
      <c r="B3" s="599" t="s">
        <v>1361</v>
      </c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599"/>
      <c r="O3" s="599"/>
      <c r="P3" s="599"/>
      <c r="Q3" s="599"/>
      <c r="R3" s="599"/>
      <c r="S3" s="599"/>
    </row>
    <row r="4" spans="1:20" ht="12.75" customHeight="1">
      <c r="B4" s="361"/>
    </row>
    <row r="5" spans="1:20" s="512" customFormat="1" ht="39.75" customHeight="1">
      <c r="A5" s="567"/>
      <c r="B5" s="544" t="s">
        <v>1313</v>
      </c>
      <c r="C5" s="568" t="s">
        <v>1314</v>
      </c>
      <c r="D5" s="544" t="s">
        <v>1148</v>
      </c>
      <c r="E5" s="569" t="s">
        <v>1149</v>
      </c>
      <c r="F5" s="569" t="s">
        <v>1333</v>
      </c>
      <c r="G5" s="569" t="s">
        <v>1334</v>
      </c>
      <c r="H5" s="569" t="s">
        <v>1330</v>
      </c>
      <c r="I5" s="569" t="s">
        <v>1331</v>
      </c>
      <c r="J5" s="569" t="s">
        <v>1330</v>
      </c>
      <c r="K5" s="569" t="s">
        <v>1332</v>
      </c>
      <c r="L5" s="569" t="s">
        <v>1150</v>
      </c>
      <c r="M5" s="569" t="s">
        <v>1151</v>
      </c>
      <c r="N5" s="569" t="s">
        <v>1598</v>
      </c>
      <c r="O5" s="569"/>
      <c r="P5" s="569"/>
      <c r="Q5" s="569"/>
      <c r="R5" s="569" t="s">
        <v>1152</v>
      </c>
      <c r="S5" s="569" t="s">
        <v>93</v>
      </c>
      <c r="T5" s="567">
        <v>5</v>
      </c>
    </row>
    <row r="6" spans="1:20" s="170" customFormat="1" ht="18" customHeight="1">
      <c r="B6" s="143"/>
      <c r="C6" s="368"/>
      <c r="D6" s="280"/>
      <c r="E6" s="466" t="s">
        <v>1458</v>
      </c>
      <c r="F6" s="466" t="s">
        <v>1458</v>
      </c>
      <c r="G6" s="466" t="s">
        <v>1458</v>
      </c>
      <c r="H6" s="466" t="s">
        <v>1458</v>
      </c>
      <c r="I6" s="466" t="s">
        <v>1458</v>
      </c>
      <c r="J6" s="466" t="s">
        <v>1458</v>
      </c>
      <c r="K6" s="466" t="s">
        <v>1458</v>
      </c>
      <c r="L6" s="466" t="s">
        <v>1458</v>
      </c>
      <c r="M6" s="466" t="s">
        <v>1458</v>
      </c>
      <c r="N6" s="466"/>
      <c r="O6" s="466"/>
      <c r="P6" s="466"/>
      <c r="Q6" s="466"/>
      <c r="R6" s="466" t="s">
        <v>1458</v>
      </c>
      <c r="S6" s="466" t="s">
        <v>1458</v>
      </c>
      <c r="T6" s="567">
        <v>6</v>
      </c>
    </row>
    <row r="7" spans="1:20" s="427" customFormat="1" ht="20.100000000000001" customHeight="1">
      <c r="B7" s="332">
        <v>70111</v>
      </c>
      <c r="C7" s="144" t="s">
        <v>94</v>
      </c>
      <c r="D7" s="391" t="s">
        <v>95</v>
      </c>
      <c r="E7" s="391">
        <f>F7+G7+H7+I7+J7+K7</f>
        <v>345527367.34000003</v>
      </c>
      <c r="F7" s="391">
        <v>123164954.05</v>
      </c>
      <c r="G7" s="391">
        <v>19599913.289999999</v>
      </c>
      <c r="H7" s="391">
        <v>202762500</v>
      </c>
      <c r="I7" s="391"/>
      <c r="J7" s="391"/>
      <c r="K7" s="391"/>
      <c r="L7" s="487">
        <v>166172940.36000001</v>
      </c>
      <c r="M7" s="391">
        <f>L7+E7</f>
        <v>511700307.70000005</v>
      </c>
      <c r="N7" s="391">
        <v>0</v>
      </c>
      <c r="O7" s="391"/>
      <c r="P7" s="391"/>
      <c r="Q7" s="391"/>
      <c r="R7" s="409">
        <v>1760176586.9400001</v>
      </c>
      <c r="S7" s="409">
        <f>R7-M7</f>
        <v>1248476279.24</v>
      </c>
      <c r="T7" s="567">
        <v>7</v>
      </c>
    </row>
    <row r="8" spans="1:20" s="427" customFormat="1" ht="20.100000000000001" customHeight="1">
      <c r="B8" s="332">
        <v>70111</v>
      </c>
      <c r="C8" s="144" t="s">
        <v>340</v>
      </c>
      <c r="D8" s="391" t="s">
        <v>341</v>
      </c>
      <c r="E8" s="391">
        <f t="shared" ref="E8:E60" si="0">F8+G8+H8+I8+J8+K8</f>
        <v>2860000</v>
      </c>
      <c r="F8" s="570"/>
      <c r="G8" s="391">
        <v>2860000</v>
      </c>
      <c r="H8" s="391"/>
      <c r="I8" s="391"/>
      <c r="J8" s="391"/>
      <c r="K8" s="391"/>
      <c r="L8" s="487"/>
      <c r="M8" s="391">
        <f t="shared" ref="M8:M71" si="1">L8+E8</f>
        <v>2860000</v>
      </c>
      <c r="N8" s="391">
        <v>0</v>
      </c>
      <c r="O8" s="391"/>
      <c r="P8" s="391"/>
      <c r="Q8" s="391"/>
      <c r="R8" s="409">
        <v>7937277.0599999996</v>
      </c>
      <c r="S8" s="409">
        <f t="shared" ref="S8:S71" si="2">R8-M8</f>
        <v>5077277.0599999996</v>
      </c>
      <c r="T8" s="567">
        <v>8</v>
      </c>
    </row>
    <row r="9" spans="1:20" s="427" customFormat="1" ht="20.100000000000001" customHeight="1">
      <c r="B9" s="332">
        <v>70111</v>
      </c>
      <c r="C9" s="144" t="s">
        <v>97</v>
      </c>
      <c r="D9" s="391" t="s">
        <v>98</v>
      </c>
      <c r="E9" s="391">
        <f t="shared" si="0"/>
        <v>186704175.59999999</v>
      </c>
      <c r="F9" s="391">
        <v>43303685.600000001</v>
      </c>
      <c r="G9" s="391">
        <v>143400490</v>
      </c>
      <c r="H9" s="391"/>
      <c r="I9" s="391"/>
      <c r="J9" s="391"/>
      <c r="K9" s="391"/>
      <c r="L9" s="487"/>
      <c r="M9" s="391">
        <f t="shared" si="1"/>
        <v>186704175.59999999</v>
      </c>
      <c r="N9" s="391">
        <v>0</v>
      </c>
      <c r="O9" s="391"/>
      <c r="P9" s="391"/>
      <c r="Q9" s="391"/>
      <c r="R9" s="409">
        <v>232375417.44</v>
      </c>
      <c r="S9" s="409">
        <f t="shared" si="2"/>
        <v>45671241.840000004</v>
      </c>
      <c r="T9" s="567">
        <v>9</v>
      </c>
    </row>
    <row r="10" spans="1:20" s="427" customFormat="1" ht="20.100000000000001" customHeight="1">
      <c r="B10" s="332">
        <v>70111</v>
      </c>
      <c r="C10" s="144" t="s">
        <v>343</v>
      </c>
      <c r="D10" s="391" t="s">
        <v>344</v>
      </c>
      <c r="E10" s="391">
        <f t="shared" si="0"/>
        <v>1300000</v>
      </c>
      <c r="F10" s="391"/>
      <c r="G10" s="391">
        <v>1300000</v>
      </c>
      <c r="H10" s="391"/>
      <c r="I10" s="391"/>
      <c r="J10" s="391"/>
      <c r="K10" s="391"/>
      <c r="L10" s="487"/>
      <c r="M10" s="391">
        <f t="shared" si="1"/>
        <v>1300000</v>
      </c>
      <c r="N10" s="391"/>
      <c r="O10" s="391"/>
      <c r="P10" s="391"/>
      <c r="Q10" s="391"/>
      <c r="R10" s="409">
        <v>3401690.17</v>
      </c>
      <c r="S10" s="409">
        <f t="shared" si="2"/>
        <v>2101690.17</v>
      </c>
      <c r="T10" s="567">
        <v>10</v>
      </c>
    </row>
    <row r="11" spans="1:20" s="427" customFormat="1" ht="21.75" customHeight="1">
      <c r="B11" s="332">
        <v>70111</v>
      </c>
      <c r="C11" s="144" t="s">
        <v>1153</v>
      </c>
      <c r="D11" s="391" t="s">
        <v>1154</v>
      </c>
      <c r="E11" s="391">
        <f t="shared" si="0"/>
        <v>0</v>
      </c>
      <c r="F11" s="391"/>
      <c r="G11" s="391"/>
      <c r="H11" s="391"/>
      <c r="I11" s="391"/>
      <c r="J11" s="391"/>
      <c r="K11" s="391"/>
      <c r="L11" s="487"/>
      <c r="M11" s="391">
        <f t="shared" si="1"/>
        <v>0</v>
      </c>
      <c r="N11" s="391"/>
      <c r="O11" s="391"/>
      <c r="P11" s="391"/>
      <c r="Q11" s="391"/>
      <c r="R11" s="409">
        <v>0</v>
      </c>
      <c r="S11" s="409">
        <f t="shared" si="2"/>
        <v>0</v>
      </c>
      <c r="T11" s="567">
        <v>11</v>
      </c>
    </row>
    <row r="12" spans="1:20" s="427" customFormat="1" ht="20.100000000000001" customHeight="1">
      <c r="B12" s="332">
        <v>70111</v>
      </c>
      <c r="C12" s="144" t="s">
        <v>346</v>
      </c>
      <c r="D12" s="391" t="s">
        <v>347</v>
      </c>
      <c r="E12" s="391">
        <f t="shared" si="0"/>
        <v>0</v>
      </c>
      <c r="F12" s="391"/>
      <c r="G12" s="391"/>
      <c r="H12" s="391"/>
      <c r="I12" s="391"/>
      <c r="J12" s="391"/>
      <c r="K12" s="391"/>
      <c r="L12" s="487"/>
      <c r="M12" s="391">
        <f t="shared" si="1"/>
        <v>0</v>
      </c>
      <c r="N12" s="391"/>
      <c r="O12" s="391"/>
      <c r="P12" s="391"/>
      <c r="Q12" s="391"/>
      <c r="R12" s="409">
        <v>2535586.89</v>
      </c>
      <c r="S12" s="409">
        <f t="shared" si="2"/>
        <v>2535586.89</v>
      </c>
      <c r="T12" s="567">
        <v>12</v>
      </c>
    </row>
    <row r="13" spans="1:20" s="427" customFormat="1" ht="20.100000000000001" customHeight="1">
      <c r="B13" s="332">
        <v>70111</v>
      </c>
      <c r="C13" s="144" t="s">
        <v>1155</v>
      </c>
      <c r="D13" s="391" t="s">
        <v>1156</v>
      </c>
      <c r="E13" s="391">
        <f t="shared" si="0"/>
        <v>0</v>
      </c>
      <c r="F13" s="391"/>
      <c r="G13" s="391"/>
      <c r="H13" s="391"/>
      <c r="I13" s="391"/>
      <c r="J13" s="391"/>
      <c r="K13" s="391"/>
      <c r="L13" s="487"/>
      <c r="M13" s="391">
        <f t="shared" si="1"/>
        <v>0</v>
      </c>
      <c r="N13" s="391"/>
      <c r="O13" s="391"/>
      <c r="P13" s="391"/>
      <c r="Q13" s="391"/>
      <c r="R13" s="409"/>
      <c r="S13" s="409">
        <f t="shared" si="2"/>
        <v>0</v>
      </c>
      <c r="T13" s="567">
        <v>13</v>
      </c>
    </row>
    <row r="14" spans="1:20" s="427" customFormat="1" ht="20.100000000000001" customHeight="1">
      <c r="B14" s="332">
        <v>70111</v>
      </c>
      <c r="C14" s="144" t="s">
        <v>1157</v>
      </c>
      <c r="D14" s="391" t="s">
        <v>1158</v>
      </c>
      <c r="E14" s="391">
        <f t="shared" si="0"/>
        <v>0</v>
      </c>
      <c r="F14" s="391"/>
      <c r="G14" s="391"/>
      <c r="H14" s="391"/>
      <c r="I14" s="391"/>
      <c r="J14" s="391"/>
      <c r="K14" s="391"/>
      <c r="L14" s="487"/>
      <c r="M14" s="391">
        <f t="shared" si="1"/>
        <v>0</v>
      </c>
      <c r="N14" s="391"/>
      <c r="O14" s="391"/>
      <c r="P14" s="391"/>
      <c r="Q14" s="391"/>
      <c r="R14" s="409"/>
      <c r="S14" s="409">
        <f t="shared" si="2"/>
        <v>0</v>
      </c>
      <c r="T14" s="567">
        <v>14</v>
      </c>
    </row>
    <row r="15" spans="1:20" s="427" customFormat="1" ht="20.100000000000001" customHeight="1">
      <c r="B15" s="332">
        <v>70111</v>
      </c>
      <c r="C15" s="144" t="s">
        <v>1159</v>
      </c>
      <c r="D15" s="391" t="s">
        <v>1160</v>
      </c>
      <c r="E15" s="391">
        <f t="shared" si="0"/>
        <v>0</v>
      </c>
      <c r="F15" s="391"/>
      <c r="G15" s="391"/>
      <c r="H15" s="391"/>
      <c r="I15" s="391"/>
      <c r="J15" s="391"/>
      <c r="K15" s="391"/>
      <c r="L15" s="487"/>
      <c r="M15" s="391">
        <f t="shared" si="1"/>
        <v>0</v>
      </c>
      <c r="N15" s="391"/>
      <c r="O15" s="391"/>
      <c r="P15" s="391"/>
      <c r="Q15" s="391"/>
      <c r="R15" s="409"/>
      <c r="S15" s="409">
        <f t="shared" si="2"/>
        <v>0</v>
      </c>
      <c r="T15" s="567">
        <v>15</v>
      </c>
    </row>
    <row r="16" spans="1:20" s="427" customFormat="1" ht="20.100000000000001" customHeight="1">
      <c r="B16" s="332">
        <v>70111</v>
      </c>
      <c r="C16" s="144" t="s">
        <v>1161</v>
      </c>
      <c r="D16" s="391" t="s">
        <v>1162</v>
      </c>
      <c r="E16" s="391">
        <f t="shared" si="0"/>
        <v>0</v>
      </c>
      <c r="F16" s="391"/>
      <c r="G16" s="391"/>
      <c r="H16" s="391"/>
      <c r="I16" s="391"/>
      <c r="J16" s="391"/>
      <c r="K16" s="391"/>
      <c r="L16" s="487"/>
      <c r="M16" s="391">
        <f t="shared" si="1"/>
        <v>0</v>
      </c>
      <c r="N16" s="391"/>
      <c r="O16" s="391"/>
      <c r="P16" s="391"/>
      <c r="Q16" s="391"/>
      <c r="R16" s="409"/>
      <c r="S16" s="409">
        <f t="shared" si="2"/>
        <v>0</v>
      </c>
      <c r="T16" s="567">
        <v>16</v>
      </c>
    </row>
    <row r="17" spans="2:20" s="427" customFormat="1" ht="20.100000000000001" customHeight="1">
      <c r="B17" s="332">
        <v>70111</v>
      </c>
      <c r="C17" s="144" t="s">
        <v>1163</v>
      </c>
      <c r="D17" s="391" t="s">
        <v>1164</v>
      </c>
      <c r="E17" s="391">
        <f t="shared" si="0"/>
        <v>0</v>
      </c>
      <c r="F17" s="391"/>
      <c r="G17" s="391"/>
      <c r="H17" s="391"/>
      <c r="I17" s="391"/>
      <c r="J17" s="391"/>
      <c r="K17" s="391"/>
      <c r="L17" s="487"/>
      <c r="M17" s="391">
        <f t="shared" si="1"/>
        <v>0</v>
      </c>
      <c r="N17" s="391"/>
      <c r="O17" s="391"/>
      <c r="P17" s="391"/>
      <c r="Q17" s="391"/>
      <c r="R17" s="409"/>
      <c r="S17" s="409">
        <f t="shared" si="2"/>
        <v>0</v>
      </c>
      <c r="T17" s="567">
        <v>17</v>
      </c>
    </row>
    <row r="18" spans="2:20" s="427" customFormat="1" ht="20.100000000000001" customHeight="1">
      <c r="B18" s="332">
        <v>70111</v>
      </c>
      <c r="C18" s="144"/>
      <c r="D18" s="391" t="s">
        <v>1165</v>
      </c>
      <c r="E18" s="391">
        <f t="shared" si="0"/>
        <v>0</v>
      </c>
      <c r="F18" s="391"/>
      <c r="G18" s="391"/>
      <c r="H18" s="391"/>
      <c r="I18" s="391"/>
      <c r="J18" s="391"/>
      <c r="K18" s="391"/>
      <c r="L18" s="487"/>
      <c r="M18" s="391">
        <f t="shared" si="1"/>
        <v>0</v>
      </c>
      <c r="N18" s="391"/>
      <c r="O18" s="391"/>
      <c r="P18" s="391"/>
      <c r="Q18" s="391"/>
      <c r="R18" s="409"/>
      <c r="S18" s="409">
        <f t="shared" si="2"/>
        <v>0</v>
      </c>
      <c r="T18" s="567">
        <v>18</v>
      </c>
    </row>
    <row r="19" spans="2:20" s="427" customFormat="1" ht="20.100000000000001" customHeight="1">
      <c r="B19" s="332">
        <v>70111</v>
      </c>
      <c r="C19" s="144" t="s">
        <v>1166</v>
      </c>
      <c r="D19" s="391" t="s">
        <v>1167</v>
      </c>
      <c r="E19" s="391">
        <f t="shared" si="0"/>
        <v>0</v>
      </c>
      <c r="F19" s="391"/>
      <c r="G19" s="391"/>
      <c r="H19" s="391"/>
      <c r="I19" s="391"/>
      <c r="J19" s="391"/>
      <c r="K19" s="391"/>
      <c r="L19" s="487"/>
      <c r="M19" s="391">
        <f t="shared" si="1"/>
        <v>0</v>
      </c>
      <c r="N19" s="391"/>
      <c r="O19" s="391"/>
      <c r="P19" s="391"/>
      <c r="Q19" s="391"/>
      <c r="R19" s="409"/>
      <c r="S19" s="409">
        <f t="shared" si="2"/>
        <v>0</v>
      </c>
      <c r="T19" s="567">
        <v>19</v>
      </c>
    </row>
    <row r="20" spans="2:20" s="427" customFormat="1" ht="20.100000000000001" customHeight="1">
      <c r="B20" s="332">
        <v>70111</v>
      </c>
      <c r="C20" s="144"/>
      <c r="D20" s="391" t="s">
        <v>1168</v>
      </c>
      <c r="E20" s="391">
        <f t="shared" si="0"/>
        <v>0</v>
      </c>
      <c r="F20" s="391"/>
      <c r="G20" s="391"/>
      <c r="H20" s="391"/>
      <c r="I20" s="391"/>
      <c r="J20" s="391"/>
      <c r="K20" s="391"/>
      <c r="L20" s="487"/>
      <c r="M20" s="391">
        <f t="shared" si="1"/>
        <v>0</v>
      </c>
      <c r="N20" s="391"/>
      <c r="O20" s="391"/>
      <c r="P20" s="391"/>
      <c r="Q20" s="391"/>
      <c r="R20" s="409"/>
      <c r="S20" s="409">
        <f t="shared" si="2"/>
        <v>0</v>
      </c>
      <c r="T20" s="567">
        <v>20</v>
      </c>
    </row>
    <row r="21" spans="2:20" s="427" customFormat="1" ht="21.75" customHeight="1">
      <c r="B21" s="332">
        <v>70111</v>
      </c>
      <c r="C21" s="144" t="s">
        <v>1169</v>
      </c>
      <c r="D21" s="391" t="s">
        <v>1170</v>
      </c>
      <c r="E21" s="391">
        <f t="shared" si="0"/>
        <v>0</v>
      </c>
      <c r="F21" s="391"/>
      <c r="G21" s="391"/>
      <c r="H21" s="391"/>
      <c r="I21" s="391"/>
      <c r="J21" s="391"/>
      <c r="K21" s="391"/>
      <c r="L21" s="487"/>
      <c r="M21" s="391">
        <f t="shared" si="1"/>
        <v>0</v>
      </c>
      <c r="N21" s="391"/>
      <c r="O21" s="391"/>
      <c r="P21" s="391"/>
      <c r="Q21" s="391"/>
      <c r="R21" s="409"/>
      <c r="S21" s="409">
        <f t="shared" si="2"/>
        <v>0</v>
      </c>
      <c r="T21" s="567">
        <v>21</v>
      </c>
    </row>
    <row r="22" spans="2:20" s="427" customFormat="1" ht="24" customHeight="1">
      <c r="B22" s="332">
        <v>70111</v>
      </c>
      <c r="C22" s="144" t="s">
        <v>1171</v>
      </c>
      <c r="D22" s="391" t="s">
        <v>1172</v>
      </c>
      <c r="E22" s="391">
        <f t="shared" si="0"/>
        <v>0</v>
      </c>
      <c r="F22" s="391"/>
      <c r="G22" s="391"/>
      <c r="H22" s="391"/>
      <c r="I22" s="391"/>
      <c r="J22" s="391"/>
      <c r="K22" s="391"/>
      <c r="L22" s="487"/>
      <c r="M22" s="391">
        <f t="shared" si="1"/>
        <v>0</v>
      </c>
      <c r="N22" s="391"/>
      <c r="O22" s="391"/>
      <c r="P22" s="391"/>
      <c r="Q22" s="391"/>
      <c r="R22" s="409"/>
      <c r="S22" s="409">
        <f t="shared" si="2"/>
        <v>0</v>
      </c>
      <c r="T22" s="567">
        <v>22</v>
      </c>
    </row>
    <row r="23" spans="2:20" s="427" customFormat="1" ht="20.100000000000001" customHeight="1">
      <c r="B23" s="332">
        <v>70111</v>
      </c>
      <c r="C23" s="144" t="s">
        <v>1173</v>
      </c>
      <c r="D23" s="391" t="s">
        <v>1174</v>
      </c>
      <c r="E23" s="391">
        <f t="shared" si="0"/>
        <v>0</v>
      </c>
      <c r="F23" s="391"/>
      <c r="G23" s="391"/>
      <c r="H23" s="391"/>
      <c r="I23" s="391"/>
      <c r="J23" s="391"/>
      <c r="K23" s="391"/>
      <c r="L23" s="487"/>
      <c r="M23" s="391">
        <f t="shared" si="1"/>
        <v>0</v>
      </c>
      <c r="N23" s="391"/>
      <c r="O23" s="391"/>
      <c r="P23" s="391"/>
      <c r="Q23" s="391"/>
      <c r="R23" s="409"/>
      <c r="S23" s="409">
        <f t="shared" si="2"/>
        <v>0</v>
      </c>
      <c r="T23" s="567">
        <v>23</v>
      </c>
    </row>
    <row r="24" spans="2:20" s="427" customFormat="1" ht="20.100000000000001" customHeight="1">
      <c r="B24" s="332">
        <v>70111</v>
      </c>
      <c r="C24" s="144" t="s">
        <v>1175</v>
      </c>
      <c r="D24" s="391" t="s">
        <v>1176</v>
      </c>
      <c r="E24" s="391">
        <f t="shared" si="0"/>
        <v>0</v>
      </c>
      <c r="F24" s="391"/>
      <c r="G24" s="391"/>
      <c r="H24" s="391"/>
      <c r="I24" s="391"/>
      <c r="J24" s="391"/>
      <c r="K24" s="391"/>
      <c r="L24" s="487"/>
      <c r="M24" s="391">
        <f t="shared" si="1"/>
        <v>0</v>
      </c>
      <c r="N24" s="391"/>
      <c r="O24" s="391"/>
      <c r="P24" s="391"/>
      <c r="Q24" s="391"/>
      <c r="R24" s="409"/>
      <c r="S24" s="409">
        <f t="shared" si="2"/>
        <v>0</v>
      </c>
      <c r="T24" s="567">
        <v>24</v>
      </c>
    </row>
    <row r="25" spans="2:20" s="427" customFormat="1" ht="20.100000000000001" customHeight="1">
      <c r="B25" s="332">
        <v>70111</v>
      </c>
      <c r="C25" s="144" t="s">
        <v>1177</v>
      </c>
      <c r="D25" s="391" t="s">
        <v>1178</v>
      </c>
      <c r="E25" s="391">
        <f t="shared" si="0"/>
        <v>0</v>
      </c>
      <c r="F25" s="391"/>
      <c r="G25" s="391"/>
      <c r="H25" s="391"/>
      <c r="I25" s="391"/>
      <c r="J25" s="391"/>
      <c r="K25" s="391"/>
      <c r="L25" s="487"/>
      <c r="M25" s="391">
        <f t="shared" si="1"/>
        <v>0</v>
      </c>
      <c r="N25" s="391"/>
      <c r="O25" s="391"/>
      <c r="P25" s="391"/>
      <c r="Q25" s="391"/>
      <c r="R25" s="409"/>
      <c r="S25" s="409">
        <f t="shared" si="2"/>
        <v>0</v>
      </c>
      <c r="T25" s="567">
        <v>25</v>
      </c>
    </row>
    <row r="26" spans="2:20" s="427" customFormat="1" ht="20.100000000000001" customHeight="1">
      <c r="B26" s="332">
        <v>70111</v>
      </c>
      <c r="C26" s="144" t="s">
        <v>1179</v>
      </c>
      <c r="D26" s="391" t="s">
        <v>1180</v>
      </c>
      <c r="E26" s="391">
        <f t="shared" si="0"/>
        <v>0</v>
      </c>
      <c r="F26" s="391"/>
      <c r="G26" s="391"/>
      <c r="H26" s="391"/>
      <c r="I26" s="391"/>
      <c r="J26" s="391"/>
      <c r="K26" s="391"/>
      <c r="L26" s="487"/>
      <c r="M26" s="391">
        <f t="shared" si="1"/>
        <v>0</v>
      </c>
      <c r="N26" s="391"/>
      <c r="O26" s="391"/>
      <c r="P26" s="391"/>
      <c r="Q26" s="391"/>
      <c r="R26" s="409"/>
      <c r="S26" s="409">
        <f t="shared" si="2"/>
        <v>0</v>
      </c>
      <c r="T26" s="567">
        <v>26</v>
      </c>
    </row>
    <row r="27" spans="2:20" s="427" customFormat="1" ht="20.100000000000001" customHeight="1">
      <c r="B27" s="332">
        <v>70111</v>
      </c>
      <c r="C27" s="144" t="s">
        <v>1181</v>
      </c>
      <c r="D27" s="391" t="s">
        <v>1182</v>
      </c>
      <c r="E27" s="391">
        <f t="shared" si="0"/>
        <v>0</v>
      </c>
      <c r="F27" s="391"/>
      <c r="G27" s="391"/>
      <c r="H27" s="391"/>
      <c r="I27" s="391"/>
      <c r="J27" s="391"/>
      <c r="K27" s="391"/>
      <c r="L27" s="487"/>
      <c r="M27" s="391">
        <f t="shared" si="1"/>
        <v>0</v>
      </c>
      <c r="N27" s="391"/>
      <c r="O27" s="391"/>
      <c r="P27" s="391"/>
      <c r="Q27" s="391"/>
      <c r="R27" s="409"/>
      <c r="S27" s="409">
        <f t="shared" si="2"/>
        <v>0</v>
      </c>
      <c r="T27" s="567">
        <v>27</v>
      </c>
    </row>
    <row r="28" spans="2:20" s="427" customFormat="1" ht="20.100000000000001" customHeight="1">
      <c r="B28" s="332">
        <v>70111</v>
      </c>
      <c r="C28" s="144" t="s">
        <v>1183</v>
      </c>
      <c r="D28" s="391" t="s">
        <v>1184</v>
      </c>
      <c r="E28" s="391">
        <f t="shared" si="0"/>
        <v>0</v>
      </c>
      <c r="F28" s="391"/>
      <c r="G28" s="391"/>
      <c r="H28" s="391"/>
      <c r="I28" s="391"/>
      <c r="J28" s="391"/>
      <c r="K28" s="391"/>
      <c r="L28" s="487"/>
      <c r="M28" s="391">
        <f t="shared" si="1"/>
        <v>0</v>
      </c>
      <c r="N28" s="391"/>
      <c r="O28" s="391"/>
      <c r="P28" s="391"/>
      <c r="Q28" s="391"/>
      <c r="R28" s="409"/>
      <c r="S28" s="409">
        <f t="shared" si="2"/>
        <v>0</v>
      </c>
      <c r="T28" s="567">
        <v>28</v>
      </c>
    </row>
    <row r="29" spans="2:20" s="427" customFormat="1" ht="20.100000000000001" customHeight="1">
      <c r="B29" s="332">
        <v>70111</v>
      </c>
      <c r="C29" s="144" t="s">
        <v>349</v>
      </c>
      <c r="D29" s="391" t="s">
        <v>350</v>
      </c>
      <c r="E29" s="391">
        <f t="shared" si="0"/>
        <v>0</v>
      </c>
      <c r="F29" s="391"/>
      <c r="G29" s="391"/>
      <c r="H29" s="391"/>
      <c r="I29" s="391"/>
      <c r="J29" s="391"/>
      <c r="K29" s="391"/>
      <c r="L29" s="487"/>
      <c r="M29" s="391">
        <f t="shared" si="1"/>
        <v>0</v>
      </c>
      <c r="N29" s="391"/>
      <c r="O29" s="391"/>
      <c r="P29" s="391"/>
      <c r="Q29" s="391"/>
      <c r="R29" s="409">
        <v>1020507.05</v>
      </c>
      <c r="S29" s="409">
        <f t="shared" si="2"/>
        <v>1020507.05</v>
      </c>
      <c r="T29" s="567">
        <v>29</v>
      </c>
    </row>
    <row r="30" spans="2:20" s="427" customFormat="1" ht="20.100000000000001" customHeight="1">
      <c r="B30" s="332">
        <v>70111</v>
      </c>
      <c r="C30" s="144" t="s">
        <v>1185</v>
      </c>
      <c r="D30" s="391" t="s">
        <v>1186</v>
      </c>
      <c r="E30" s="391">
        <f t="shared" si="0"/>
        <v>0</v>
      </c>
      <c r="F30" s="391"/>
      <c r="G30" s="391"/>
      <c r="H30" s="391"/>
      <c r="I30" s="391"/>
      <c r="J30" s="391"/>
      <c r="K30" s="391"/>
      <c r="L30" s="487"/>
      <c r="M30" s="391">
        <f t="shared" si="1"/>
        <v>0</v>
      </c>
      <c r="N30" s="391"/>
      <c r="O30" s="391"/>
      <c r="P30" s="391"/>
      <c r="Q30" s="391"/>
      <c r="R30" s="409"/>
      <c r="S30" s="409">
        <f t="shared" si="2"/>
        <v>0</v>
      </c>
      <c r="T30" s="567">
        <v>30</v>
      </c>
    </row>
    <row r="31" spans="2:20" s="427" customFormat="1" ht="20.100000000000001" customHeight="1">
      <c r="B31" s="332">
        <v>70111</v>
      </c>
      <c r="C31" s="144" t="s">
        <v>100</v>
      </c>
      <c r="D31" s="391" t="s">
        <v>101</v>
      </c>
      <c r="E31" s="391">
        <f t="shared" si="0"/>
        <v>10391241.07</v>
      </c>
      <c r="F31" s="391">
        <v>9191241.0700000003</v>
      </c>
      <c r="G31" s="391">
        <v>1200000</v>
      </c>
      <c r="H31" s="391"/>
      <c r="I31" s="391"/>
      <c r="J31" s="391"/>
      <c r="K31" s="391"/>
      <c r="L31" s="487"/>
      <c r="M31" s="391">
        <f t="shared" si="1"/>
        <v>10391241.07</v>
      </c>
      <c r="N31" s="391"/>
      <c r="O31" s="391"/>
      <c r="P31" s="391"/>
      <c r="Q31" s="391"/>
      <c r="R31" s="409">
        <v>22827775.379999999</v>
      </c>
      <c r="S31" s="409">
        <f t="shared" si="2"/>
        <v>12436534.309999999</v>
      </c>
      <c r="T31" s="567">
        <v>31</v>
      </c>
    </row>
    <row r="32" spans="2:20" s="427" customFormat="1" ht="20.100000000000001" customHeight="1">
      <c r="B32" s="332">
        <v>70111</v>
      </c>
      <c r="C32" s="144" t="s">
        <v>459</v>
      </c>
      <c r="D32" s="391" t="s">
        <v>460</v>
      </c>
      <c r="E32" s="391">
        <f t="shared" si="0"/>
        <v>650000</v>
      </c>
      <c r="F32" s="391"/>
      <c r="G32" s="391">
        <v>650000</v>
      </c>
      <c r="H32" s="391"/>
      <c r="I32" s="391"/>
      <c r="J32" s="391"/>
      <c r="K32" s="391"/>
      <c r="L32" s="487"/>
      <c r="M32" s="391">
        <f t="shared" si="1"/>
        <v>650000</v>
      </c>
      <c r="N32" s="391"/>
      <c r="O32" s="391"/>
      <c r="P32" s="391"/>
      <c r="Q32" s="391"/>
      <c r="R32" s="409">
        <v>2500000</v>
      </c>
      <c r="S32" s="409">
        <f t="shared" si="2"/>
        <v>1850000</v>
      </c>
      <c r="T32" s="567">
        <v>32</v>
      </c>
    </row>
    <row r="33" spans="2:20" s="427" customFormat="1" ht="20.100000000000001" customHeight="1">
      <c r="B33" s="332">
        <v>70111</v>
      </c>
      <c r="C33" s="144" t="s">
        <v>351</v>
      </c>
      <c r="D33" s="391" t="s">
        <v>1187</v>
      </c>
      <c r="E33" s="391">
        <f t="shared" si="0"/>
        <v>0</v>
      </c>
      <c r="F33" s="391"/>
      <c r="G33" s="391"/>
      <c r="H33" s="391"/>
      <c r="I33" s="391"/>
      <c r="J33" s="391"/>
      <c r="K33" s="391"/>
      <c r="L33" s="487"/>
      <c r="M33" s="391">
        <f t="shared" si="1"/>
        <v>0</v>
      </c>
      <c r="N33" s="391"/>
      <c r="O33" s="391"/>
      <c r="P33" s="391"/>
      <c r="Q33" s="391"/>
      <c r="R33" s="409">
        <v>5669483.6200000001</v>
      </c>
      <c r="S33" s="409">
        <f t="shared" si="2"/>
        <v>5669483.6200000001</v>
      </c>
      <c r="T33" s="567">
        <v>33</v>
      </c>
    </row>
    <row r="34" spans="2:20" s="427" customFormat="1" ht="20.100000000000001" customHeight="1">
      <c r="B34" s="332">
        <v>70111</v>
      </c>
      <c r="C34" s="144" t="s">
        <v>103</v>
      </c>
      <c r="D34" s="391" t="s">
        <v>104</v>
      </c>
      <c r="E34" s="391">
        <f t="shared" si="0"/>
        <v>27389126.77</v>
      </c>
      <c r="F34" s="391">
        <v>15229126.77</v>
      </c>
      <c r="G34" s="391">
        <v>660000</v>
      </c>
      <c r="H34" s="391">
        <v>11500000</v>
      </c>
      <c r="I34" s="391"/>
      <c r="J34" s="391"/>
      <c r="K34" s="391"/>
      <c r="L34" s="487"/>
      <c r="M34" s="391">
        <f t="shared" si="1"/>
        <v>27389126.77</v>
      </c>
      <c r="N34" s="391"/>
      <c r="O34" s="391"/>
      <c r="P34" s="391"/>
      <c r="Q34" s="391"/>
      <c r="R34" s="409">
        <v>52717887.859999999</v>
      </c>
      <c r="S34" s="409">
        <f t="shared" si="2"/>
        <v>25328761.09</v>
      </c>
      <c r="T34" s="567">
        <v>34</v>
      </c>
    </row>
    <row r="35" spans="2:20" s="427" customFormat="1" ht="20.100000000000001" customHeight="1">
      <c r="B35" s="332">
        <v>70111</v>
      </c>
      <c r="C35" s="144" t="s">
        <v>366</v>
      </c>
      <c r="D35" s="391" t="s">
        <v>367</v>
      </c>
      <c r="E35" s="391">
        <f t="shared" si="0"/>
        <v>16543600</v>
      </c>
      <c r="F35" s="391"/>
      <c r="G35" s="391">
        <v>16543600</v>
      </c>
      <c r="H35" s="391"/>
      <c r="I35" s="391"/>
      <c r="J35" s="391"/>
      <c r="K35" s="391"/>
      <c r="L35" s="487"/>
      <c r="M35" s="391">
        <f t="shared" si="1"/>
        <v>16543600</v>
      </c>
      <c r="N35" s="391"/>
      <c r="O35" s="391"/>
      <c r="P35" s="391"/>
      <c r="Q35" s="391"/>
      <c r="R35" s="409">
        <v>25000000</v>
      </c>
      <c r="S35" s="409">
        <f t="shared" si="2"/>
        <v>8456400</v>
      </c>
      <c r="T35" s="567">
        <v>35</v>
      </c>
    </row>
    <row r="36" spans="2:20" s="427" customFormat="1" ht="20.100000000000001" customHeight="1">
      <c r="B36" s="332">
        <v>70111</v>
      </c>
      <c r="C36" s="144" t="s">
        <v>106</v>
      </c>
      <c r="D36" s="391" t="s">
        <v>107</v>
      </c>
      <c r="E36" s="391">
        <f t="shared" si="0"/>
        <v>498317570.21000004</v>
      </c>
      <c r="F36" s="391">
        <v>57803946.359999999</v>
      </c>
      <c r="G36" s="391">
        <v>4160000</v>
      </c>
      <c r="H36" s="391">
        <v>436353623.85000002</v>
      </c>
      <c r="I36" s="391"/>
      <c r="J36" s="391"/>
      <c r="K36" s="391"/>
      <c r="L36" s="487">
        <v>168965517.96000001</v>
      </c>
      <c r="M36" s="391">
        <f t="shared" si="1"/>
        <v>667283088.17000008</v>
      </c>
      <c r="N36" s="391"/>
      <c r="O36" s="391"/>
      <c r="P36" s="391"/>
      <c r="Q36" s="391"/>
      <c r="R36" s="409">
        <v>1460241841.04</v>
      </c>
      <c r="S36" s="409">
        <f t="shared" si="2"/>
        <v>792958752.86999989</v>
      </c>
      <c r="T36" s="567">
        <v>36</v>
      </c>
    </row>
    <row r="37" spans="2:20" s="427" customFormat="1" ht="20.100000000000001" customHeight="1">
      <c r="B37" s="332">
        <v>70111</v>
      </c>
      <c r="C37" s="144" t="s">
        <v>108</v>
      </c>
      <c r="D37" s="391" t="s">
        <v>109</v>
      </c>
      <c r="E37" s="391">
        <f t="shared" si="0"/>
        <v>684778618.64999998</v>
      </c>
      <c r="F37" s="391">
        <v>684778618.64999998</v>
      </c>
      <c r="G37" s="391"/>
      <c r="H37" s="391"/>
      <c r="I37" s="391"/>
      <c r="J37" s="391"/>
      <c r="K37" s="391"/>
      <c r="L37" s="487"/>
      <c r="M37" s="391">
        <f t="shared" si="1"/>
        <v>684778618.64999998</v>
      </c>
      <c r="N37" s="391"/>
      <c r="O37" s="391"/>
      <c r="P37" s="391"/>
      <c r="Q37" s="391"/>
      <c r="R37" s="409">
        <v>851641200.57000005</v>
      </c>
      <c r="S37" s="409">
        <f t="shared" si="2"/>
        <v>166862581.92000008</v>
      </c>
      <c r="T37" s="567">
        <v>37</v>
      </c>
    </row>
    <row r="38" spans="2:20" s="427" customFormat="1" ht="20.100000000000001" customHeight="1">
      <c r="B38" s="332">
        <v>70111</v>
      </c>
      <c r="C38" s="144" t="s">
        <v>1188</v>
      </c>
      <c r="D38" s="391" t="s">
        <v>1189</v>
      </c>
      <c r="E38" s="391">
        <f t="shared" si="0"/>
        <v>0</v>
      </c>
      <c r="F38" s="391"/>
      <c r="G38" s="391"/>
      <c r="H38" s="391"/>
      <c r="I38" s="391"/>
      <c r="J38" s="391"/>
      <c r="K38" s="391"/>
      <c r="L38" s="487"/>
      <c r="M38" s="391">
        <f t="shared" si="1"/>
        <v>0</v>
      </c>
      <c r="N38" s="391"/>
      <c r="O38" s="391"/>
      <c r="P38" s="391"/>
      <c r="Q38" s="391"/>
      <c r="R38" s="409"/>
      <c r="S38" s="409">
        <f t="shared" si="2"/>
        <v>0</v>
      </c>
      <c r="T38" s="567">
        <v>38</v>
      </c>
    </row>
    <row r="39" spans="2:20" s="427" customFormat="1" ht="20.100000000000001" customHeight="1">
      <c r="B39" s="332">
        <v>70111</v>
      </c>
      <c r="C39" s="144" t="s">
        <v>291</v>
      </c>
      <c r="D39" s="391" t="s">
        <v>1190</v>
      </c>
      <c r="E39" s="391">
        <f t="shared" si="0"/>
        <v>0</v>
      </c>
      <c r="F39" s="391"/>
      <c r="G39" s="391"/>
      <c r="H39" s="391"/>
      <c r="I39" s="391"/>
      <c r="J39" s="391"/>
      <c r="K39" s="391"/>
      <c r="L39" s="487"/>
      <c r="M39" s="391">
        <f t="shared" si="1"/>
        <v>0</v>
      </c>
      <c r="N39" s="391"/>
      <c r="O39" s="391"/>
      <c r="P39" s="391"/>
      <c r="Q39" s="391"/>
      <c r="R39" s="409"/>
      <c r="S39" s="409">
        <f t="shared" si="2"/>
        <v>0</v>
      </c>
      <c r="T39" s="567">
        <v>39</v>
      </c>
    </row>
    <row r="40" spans="2:20" s="427" customFormat="1" ht="20.100000000000001" customHeight="1">
      <c r="B40" s="332">
        <v>70111</v>
      </c>
      <c r="C40" s="144" t="s">
        <v>1191</v>
      </c>
      <c r="D40" s="391" t="s">
        <v>1192</v>
      </c>
      <c r="E40" s="391">
        <f t="shared" si="0"/>
        <v>0</v>
      </c>
      <c r="F40" s="391"/>
      <c r="G40" s="391"/>
      <c r="H40" s="391"/>
      <c r="I40" s="391"/>
      <c r="J40" s="391"/>
      <c r="K40" s="391"/>
      <c r="L40" s="487"/>
      <c r="M40" s="391">
        <f t="shared" si="1"/>
        <v>0</v>
      </c>
      <c r="N40" s="391"/>
      <c r="O40" s="391"/>
      <c r="P40" s="391"/>
      <c r="Q40" s="391"/>
      <c r="R40" s="409"/>
      <c r="S40" s="409">
        <f t="shared" si="2"/>
        <v>0</v>
      </c>
      <c r="T40" s="567">
        <v>40</v>
      </c>
    </row>
    <row r="41" spans="2:20" s="427" customFormat="1" ht="20.100000000000001" customHeight="1">
      <c r="B41" s="332">
        <v>70111</v>
      </c>
      <c r="C41" s="144" t="s">
        <v>778</v>
      </c>
      <c r="D41" s="391" t="s">
        <v>779</v>
      </c>
      <c r="E41" s="391">
        <f t="shared" si="0"/>
        <v>0</v>
      </c>
      <c r="F41" s="391"/>
      <c r="G41" s="391"/>
      <c r="H41" s="391"/>
      <c r="I41" s="391"/>
      <c r="J41" s="391"/>
      <c r="K41" s="391"/>
      <c r="L41" s="487"/>
      <c r="M41" s="391">
        <f t="shared" si="1"/>
        <v>0</v>
      </c>
      <c r="N41" s="391"/>
      <c r="O41" s="391"/>
      <c r="P41" s="391"/>
      <c r="Q41" s="391"/>
      <c r="R41" s="409"/>
      <c r="S41" s="409">
        <f t="shared" si="2"/>
        <v>0</v>
      </c>
      <c r="T41" s="567">
        <v>41</v>
      </c>
    </row>
    <row r="42" spans="2:20" s="427" customFormat="1" ht="20.100000000000001" customHeight="1">
      <c r="B42" s="332">
        <v>70111</v>
      </c>
      <c r="C42" s="144" t="s">
        <v>384</v>
      </c>
      <c r="D42" s="391" t="s">
        <v>385</v>
      </c>
      <c r="E42" s="391">
        <f t="shared" si="0"/>
        <v>6000000</v>
      </c>
      <c r="F42" s="391"/>
      <c r="G42" s="391">
        <v>6000000</v>
      </c>
      <c r="H42" s="391"/>
      <c r="I42" s="391"/>
      <c r="J42" s="391"/>
      <c r="K42" s="391"/>
      <c r="L42" s="487"/>
      <c r="M42" s="391">
        <f t="shared" si="1"/>
        <v>6000000</v>
      </c>
      <c r="N42" s="391"/>
      <c r="O42" s="391"/>
      <c r="P42" s="391"/>
      <c r="Q42" s="391"/>
      <c r="R42" s="409">
        <v>11633295.83</v>
      </c>
      <c r="S42" s="409">
        <f t="shared" si="2"/>
        <v>5633295.8300000001</v>
      </c>
      <c r="T42" s="567">
        <v>42</v>
      </c>
    </row>
    <row r="43" spans="2:20" s="427" customFormat="1" ht="20.100000000000001" customHeight="1">
      <c r="B43" s="332">
        <v>70111</v>
      </c>
      <c r="C43" s="144" t="s">
        <v>1193</v>
      </c>
      <c r="D43" s="391" t="s">
        <v>1194</v>
      </c>
      <c r="E43" s="391">
        <f t="shared" si="0"/>
        <v>0</v>
      </c>
      <c r="F43" s="391"/>
      <c r="G43" s="391"/>
      <c r="H43" s="391"/>
      <c r="I43" s="391"/>
      <c r="J43" s="391"/>
      <c r="K43" s="391"/>
      <c r="L43" s="487"/>
      <c r="M43" s="391">
        <f t="shared" si="1"/>
        <v>0</v>
      </c>
      <c r="N43" s="391"/>
      <c r="O43" s="391"/>
      <c r="P43" s="391"/>
      <c r="Q43" s="391"/>
      <c r="R43" s="409"/>
      <c r="S43" s="409">
        <f t="shared" si="2"/>
        <v>0</v>
      </c>
      <c r="T43" s="567">
        <v>43</v>
      </c>
    </row>
    <row r="44" spans="2:20" s="427" customFormat="1" ht="20.100000000000001" customHeight="1">
      <c r="B44" s="332">
        <v>70111</v>
      </c>
      <c r="C44" s="144" t="s">
        <v>390</v>
      </c>
      <c r="D44" s="391" t="s">
        <v>391</v>
      </c>
      <c r="E44" s="391">
        <f t="shared" si="0"/>
        <v>440000</v>
      </c>
      <c r="F44" s="391"/>
      <c r="G44" s="391">
        <v>440000</v>
      </c>
      <c r="H44" s="391"/>
      <c r="I44" s="391"/>
      <c r="J44" s="391"/>
      <c r="K44" s="391"/>
      <c r="L44" s="487"/>
      <c r="M44" s="391">
        <f t="shared" si="1"/>
        <v>440000</v>
      </c>
      <c r="N44" s="391"/>
      <c r="O44" s="391"/>
      <c r="P44" s="391"/>
      <c r="Q44" s="391"/>
      <c r="R44" s="409">
        <v>1000000</v>
      </c>
      <c r="S44" s="409">
        <f t="shared" si="2"/>
        <v>560000</v>
      </c>
      <c r="T44" s="567">
        <v>44</v>
      </c>
    </row>
    <row r="45" spans="2:20" s="427" customFormat="1" ht="20.100000000000001" customHeight="1">
      <c r="B45" s="332">
        <v>70111</v>
      </c>
      <c r="C45" s="144" t="s">
        <v>1195</v>
      </c>
      <c r="D45" s="391" t="s">
        <v>832</v>
      </c>
      <c r="E45" s="391">
        <f t="shared" si="0"/>
        <v>0</v>
      </c>
      <c r="F45" s="391"/>
      <c r="G45" s="391"/>
      <c r="H45" s="391"/>
      <c r="I45" s="391"/>
      <c r="J45" s="391"/>
      <c r="K45" s="391"/>
      <c r="L45" s="487"/>
      <c r="M45" s="391">
        <f t="shared" si="1"/>
        <v>0</v>
      </c>
      <c r="N45" s="391"/>
      <c r="O45" s="391"/>
      <c r="P45" s="391"/>
      <c r="Q45" s="391"/>
      <c r="R45" s="409"/>
      <c r="S45" s="409">
        <f t="shared" si="2"/>
        <v>0</v>
      </c>
      <c r="T45" s="567">
        <v>45</v>
      </c>
    </row>
    <row r="46" spans="2:20" s="427" customFormat="1" ht="20.100000000000001" customHeight="1">
      <c r="B46" s="332">
        <v>70111</v>
      </c>
      <c r="C46" s="144" t="s">
        <v>393</v>
      </c>
      <c r="D46" s="391" t="s">
        <v>394</v>
      </c>
      <c r="E46" s="391">
        <f t="shared" si="0"/>
        <v>2838723.29</v>
      </c>
      <c r="F46" s="391"/>
      <c r="G46" s="391">
        <v>2838723.29</v>
      </c>
      <c r="H46" s="391"/>
      <c r="I46" s="391"/>
      <c r="J46" s="391"/>
      <c r="K46" s="391"/>
      <c r="L46" s="487"/>
      <c r="M46" s="391">
        <f t="shared" si="1"/>
        <v>2838723.29</v>
      </c>
      <c r="N46" s="391"/>
      <c r="O46" s="391"/>
      <c r="P46" s="391"/>
      <c r="Q46" s="391"/>
      <c r="R46" s="409">
        <v>3500000</v>
      </c>
      <c r="S46" s="409">
        <f t="shared" si="2"/>
        <v>661276.71</v>
      </c>
      <c r="T46" s="567">
        <v>46</v>
      </c>
    </row>
    <row r="47" spans="2:20" s="427" customFormat="1" ht="20.100000000000001" customHeight="1">
      <c r="B47" s="332">
        <v>70111</v>
      </c>
      <c r="C47" s="144" t="s">
        <v>396</v>
      </c>
      <c r="D47" s="391" t="s">
        <v>397</v>
      </c>
      <c r="E47" s="391">
        <f t="shared" si="0"/>
        <v>1320000</v>
      </c>
      <c r="F47" s="391"/>
      <c r="G47" s="391">
        <v>1320000</v>
      </c>
      <c r="H47" s="391"/>
      <c r="I47" s="391"/>
      <c r="J47" s="391"/>
      <c r="K47" s="391"/>
      <c r="L47" s="487"/>
      <c r="M47" s="391">
        <f t="shared" si="1"/>
        <v>1320000</v>
      </c>
      <c r="N47" s="391"/>
      <c r="O47" s="391"/>
      <c r="P47" s="391"/>
      <c r="Q47" s="391"/>
      <c r="R47" s="409">
        <v>1800000</v>
      </c>
      <c r="S47" s="409">
        <f t="shared" si="2"/>
        <v>480000</v>
      </c>
      <c r="T47" s="567">
        <v>47</v>
      </c>
    </row>
    <row r="48" spans="2:20" s="427" customFormat="1" ht="20.100000000000001" customHeight="1">
      <c r="B48" s="332">
        <v>70111</v>
      </c>
      <c r="C48" s="144" t="s">
        <v>1196</v>
      </c>
      <c r="D48" s="391" t="s">
        <v>1197</v>
      </c>
      <c r="E48" s="391">
        <f t="shared" si="0"/>
        <v>0</v>
      </c>
      <c r="F48" s="391"/>
      <c r="G48" s="391"/>
      <c r="H48" s="391"/>
      <c r="I48" s="391"/>
      <c r="J48" s="391"/>
      <c r="K48" s="391"/>
      <c r="L48" s="487"/>
      <c r="M48" s="391">
        <f t="shared" si="1"/>
        <v>0</v>
      </c>
      <c r="N48" s="391"/>
      <c r="O48" s="391"/>
      <c r="P48" s="391"/>
      <c r="Q48" s="391"/>
      <c r="R48" s="409"/>
      <c r="S48" s="409">
        <f t="shared" si="2"/>
        <v>0</v>
      </c>
      <c r="T48" s="567">
        <v>48</v>
      </c>
    </row>
    <row r="49" spans="2:20" s="427" customFormat="1" ht="20.100000000000001" customHeight="1">
      <c r="B49" s="332">
        <v>70111</v>
      </c>
      <c r="C49" s="144" t="s">
        <v>1198</v>
      </c>
      <c r="D49" s="391" t="s">
        <v>1199</v>
      </c>
      <c r="E49" s="391">
        <f t="shared" si="0"/>
        <v>0</v>
      </c>
      <c r="F49" s="391"/>
      <c r="G49" s="391"/>
      <c r="H49" s="391"/>
      <c r="I49" s="391"/>
      <c r="J49" s="391"/>
      <c r="K49" s="391"/>
      <c r="L49" s="487"/>
      <c r="M49" s="391">
        <f t="shared" si="1"/>
        <v>0</v>
      </c>
      <c r="N49" s="391"/>
      <c r="O49" s="391"/>
      <c r="P49" s="391"/>
      <c r="Q49" s="391"/>
      <c r="R49" s="409"/>
      <c r="S49" s="409">
        <f t="shared" si="2"/>
        <v>0</v>
      </c>
      <c r="T49" s="567">
        <v>49</v>
      </c>
    </row>
    <row r="50" spans="2:20" s="427" customFormat="1" ht="22.5" customHeight="1">
      <c r="B50" s="332">
        <v>70111</v>
      </c>
      <c r="C50" s="144"/>
      <c r="D50" s="391" t="s">
        <v>1200</v>
      </c>
      <c r="E50" s="391">
        <f t="shared" si="0"/>
        <v>0</v>
      </c>
      <c r="F50" s="391"/>
      <c r="G50" s="391"/>
      <c r="H50" s="391"/>
      <c r="I50" s="391"/>
      <c r="J50" s="391"/>
      <c r="K50" s="391"/>
      <c r="L50" s="487"/>
      <c r="M50" s="391">
        <f t="shared" si="1"/>
        <v>0</v>
      </c>
      <c r="N50" s="391"/>
      <c r="O50" s="391"/>
      <c r="P50" s="391"/>
      <c r="Q50" s="391"/>
      <c r="R50" s="409"/>
      <c r="S50" s="409">
        <f t="shared" si="2"/>
        <v>0</v>
      </c>
      <c r="T50" s="567">
        <v>50</v>
      </c>
    </row>
    <row r="51" spans="2:20" s="427" customFormat="1" ht="20.100000000000001" customHeight="1">
      <c r="B51" s="332">
        <v>70111</v>
      </c>
      <c r="C51" s="144" t="s">
        <v>1201</v>
      </c>
      <c r="D51" s="391" t="s">
        <v>1202</v>
      </c>
      <c r="E51" s="391">
        <f t="shared" si="0"/>
        <v>0</v>
      </c>
      <c r="F51" s="391"/>
      <c r="G51" s="391"/>
      <c r="H51" s="391"/>
      <c r="I51" s="391"/>
      <c r="J51" s="391"/>
      <c r="K51" s="391"/>
      <c r="L51" s="487"/>
      <c r="M51" s="391">
        <f t="shared" si="1"/>
        <v>0</v>
      </c>
      <c r="N51" s="391"/>
      <c r="O51" s="391"/>
      <c r="P51" s="391"/>
      <c r="Q51" s="391"/>
      <c r="R51" s="409"/>
      <c r="S51" s="409">
        <f t="shared" si="2"/>
        <v>0</v>
      </c>
      <c r="T51" s="567">
        <v>51</v>
      </c>
    </row>
    <row r="52" spans="2:20" s="427" customFormat="1" ht="20.100000000000001" customHeight="1">
      <c r="B52" s="332">
        <v>70111</v>
      </c>
      <c r="C52" s="144" t="s">
        <v>126</v>
      </c>
      <c r="D52" s="391" t="s">
        <v>127</v>
      </c>
      <c r="E52" s="391">
        <f t="shared" si="0"/>
        <v>1221065918.03</v>
      </c>
      <c r="F52" s="391">
        <v>144615918.03</v>
      </c>
      <c r="G52" s="391">
        <v>1076450000</v>
      </c>
      <c r="H52" s="391"/>
      <c r="I52" s="391"/>
      <c r="J52" s="391"/>
      <c r="K52" s="391"/>
      <c r="L52" s="487">
        <v>319393904.49000001</v>
      </c>
      <c r="M52" s="391">
        <f t="shared" si="1"/>
        <v>1540459822.52</v>
      </c>
      <c r="N52" s="391"/>
      <c r="O52" s="391"/>
      <c r="P52" s="391"/>
      <c r="Q52" s="391"/>
      <c r="R52" s="409">
        <v>2136956503.9200001</v>
      </c>
      <c r="S52" s="409">
        <f t="shared" si="2"/>
        <v>596496681.4000001</v>
      </c>
      <c r="T52" s="567">
        <v>52</v>
      </c>
    </row>
    <row r="53" spans="2:20" s="427" customFormat="1" ht="20.100000000000001" customHeight="1">
      <c r="B53" s="332">
        <v>70111</v>
      </c>
      <c r="C53" s="144" t="s">
        <v>1203</v>
      </c>
      <c r="D53" s="391" t="s">
        <v>1204</v>
      </c>
      <c r="E53" s="391">
        <f t="shared" si="0"/>
        <v>0</v>
      </c>
      <c r="F53" s="391"/>
      <c r="G53" s="391"/>
      <c r="H53" s="391"/>
      <c r="I53" s="391"/>
      <c r="J53" s="391"/>
      <c r="K53" s="391"/>
      <c r="L53" s="487"/>
      <c r="M53" s="391">
        <f t="shared" si="1"/>
        <v>0</v>
      </c>
      <c r="N53" s="391"/>
      <c r="O53" s="391"/>
      <c r="P53" s="391"/>
      <c r="Q53" s="391"/>
      <c r="R53" s="409"/>
      <c r="S53" s="409">
        <f t="shared" si="2"/>
        <v>0</v>
      </c>
      <c r="T53" s="567">
        <v>53</v>
      </c>
    </row>
    <row r="54" spans="2:20" s="427" customFormat="1" ht="20.100000000000001" customHeight="1">
      <c r="B54" s="332">
        <v>70111</v>
      </c>
      <c r="C54" s="144" t="s">
        <v>1205</v>
      </c>
      <c r="D54" s="391" t="s">
        <v>1206</v>
      </c>
      <c r="E54" s="391">
        <f t="shared" si="0"/>
        <v>0</v>
      </c>
      <c r="F54" s="391"/>
      <c r="G54" s="391"/>
      <c r="H54" s="391"/>
      <c r="I54" s="391"/>
      <c r="J54" s="391"/>
      <c r="K54" s="391"/>
      <c r="L54" s="487"/>
      <c r="M54" s="391">
        <f t="shared" si="1"/>
        <v>0</v>
      </c>
      <c r="N54" s="391"/>
      <c r="O54" s="391"/>
      <c r="P54" s="391"/>
      <c r="Q54" s="391"/>
      <c r="R54" s="409"/>
      <c r="S54" s="409">
        <f t="shared" si="2"/>
        <v>0</v>
      </c>
      <c r="T54" s="567">
        <v>54</v>
      </c>
    </row>
    <row r="55" spans="2:20" s="427" customFormat="1" ht="20.100000000000001" customHeight="1">
      <c r="B55" s="332">
        <v>70111</v>
      </c>
      <c r="C55" s="144" t="s">
        <v>402</v>
      </c>
      <c r="D55" s="391" t="s">
        <v>403</v>
      </c>
      <c r="E55" s="391">
        <f t="shared" si="0"/>
        <v>0</v>
      </c>
      <c r="F55" s="391"/>
      <c r="G55" s="391"/>
      <c r="H55" s="391"/>
      <c r="I55" s="391"/>
      <c r="J55" s="391"/>
      <c r="K55" s="391"/>
      <c r="L55" s="487"/>
      <c r="M55" s="391">
        <f t="shared" si="1"/>
        <v>0</v>
      </c>
      <c r="N55" s="391"/>
      <c r="O55" s="391"/>
      <c r="P55" s="391"/>
      <c r="Q55" s="391"/>
      <c r="R55" s="409">
        <v>3061521.15</v>
      </c>
      <c r="S55" s="409">
        <f t="shared" si="2"/>
        <v>3061521.15</v>
      </c>
      <c r="T55" s="567">
        <v>55</v>
      </c>
    </row>
    <row r="56" spans="2:20" s="427" customFormat="1" ht="20.100000000000001" customHeight="1">
      <c r="B56" s="332">
        <v>70111</v>
      </c>
      <c r="C56" s="144" t="s">
        <v>404</v>
      </c>
      <c r="D56" s="391" t="s">
        <v>405</v>
      </c>
      <c r="E56" s="391">
        <f t="shared" si="0"/>
        <v>2975200</v>
      </c>
      <c r="F56" s="391"/>
      <c r="G56" s="391">
        <v>2975200</v>
      </c>
      <c r="H56" s="391"/>
      <c r="I56" s="391"/>
      <c r="J56" s="391"/>
      <c r="K56" s="391"/>
      <c r="L56" s="487"/>
      <c r="M56" s="391">
        <f t="shared" si="1"/>
        <v>2975200</v>
      </c>
      <c r="N56" s="391"/>
      <c r="O56" s="391"/>
      <c r="P56" s="391"/>
      <c r="Q56" s="391"/>
      <c r="R56" s="409">
        <v>3061521.15</v>
      </c>
      <c r="S56" s="409">
        <f t="shared" si="2"/>
        <v>86321.149999999907</v>
      </c>
      <c r="T56" s="567">
        <v>56</v>
      </c>
    </row>
    <row r="57" spans="2:20" s="427" customFormat="1" ht="20.100000000000001" customHeight="1">
      <c r="B57" s="332">
        <v>70111</v>
      </c>
      <c r="C57" s="144" t="s">
        <v>129</v>
      </c>
      <c r="D57" s="391" t="s">
        <v>130</v>
      </c>
      <c r="E57" s="391">
        <f t="shared" si="0"/>
        <v>52532891.789999999</v>
      </c>
      <c r="F57" s="391">
        <v>36675891.789999999</v>
      </c>
      <c r="G57" s="391">
        <v>15857000</v>
      </c>
      <c r="H57" s="391"/>
      <c r="I57" s="391"/>
      <c r="J57" s="391"/>
      <c r="K57" s="391"/>
      <c r="L57" s="487"/>
      <c r="M57" s="391">
        <f t="shared" si="1"/>
        <v>52532891.789999999</v>
      </c>
      <c r="N57" s="391"/>
      <c r="O57" s="391"/>
      <c r="P57" s="391"/>
      <c r="Q57" s="391"/>
      <c r="R57" s="409">
        <v>381054736.41000003</v>
      </c>
      <c r="S57" s="409">
        <f t="shared" si="2"/>
        <v>328521844.62</v>
      </c>
      <c r="T57" s="567">
        <v>57</v>
      </c>
    </row>
    <row r="58" spans="2:20" s="427" customFormat="1" ht="20.100000000000001" customHeight="1">
      <c r="B58" s="332">
        <v>70111</v>
      </c>
      <c r="C58" s="144"/>
      <c r="D58" s="391" t="s">
        <v>1207</v>
      </c>
      <c r="E58" s="391">
        <f t="shared" si="0"/>
        <v>0</v>
      </c>
      <c r="F58" s="391"/>
      <c r="G58" s="391"/>
      <c r="H58" s="391"/>
      <c r="I58" s="391"/>
      <c r="J58" s="391"/>
      <c r="K58" s="391"/>
      <c r="L58" s="487"/>
      <c r="M58" s="391">
        <f t="shared" si="1"/>
        <v>0</v>
      </c>
      <c r="N58" s="391"/>
      <c r="O58" s="391"/>
      <c r="P58" s="391"/>
      <c r="Q58" s="391"/>
      <c r="R58" s="409">
        <v>0</v>
      </c>
      <c r="S58" s="409">
        <f t="shared" si="2"/>
        <v>0</v>
      </c>
      <c r="T58" s="567">
        <v>58</v>
      </c>
    </row>
    <row r="59" spans="2:20" s="427" customFormat="1" ht="20.100000000000001" customHeight="1">
      <c r="B59" s="332">
        <v>70111</v>
      </c>
      <c r="C59" s="144"/>
      <c r="D59" s="391" t="s">
        <v>1208</v>
      </c>
      <c r="E59" s="391">
        <f t="shared" si="0"/>
        <v>0</v>
      </c>
      <c r="F59" s="391"/>
      <c r="G59" s="391"/>
      <c r="H59" s="391"/>
      <c r="I59" s="391"/>
      <c r="J59" s="391"/>
      <c r="K59" s="391"/>
      <c r="L59" s="487"/>
      <c r="M59" s="391">
        <f t="shared" si="1"/>
        <v>0</v>
      </c>
      <c r="N59" s="391"/>
      <c r="O59" s="391"/>
      <c r="P59" s="391"/>
      <c r="Q59" s="391"/>
      <c r="R59" s="409"/>
      <c r="S59" s="409">
        <f t="shared" si="2"/>
        <v>0</v>
      </c>
      <c r="T59" s="567">
        <v>59</v>
      </c>
    </row>
    <row r="60" spans="2:20" s="427" customFormat="1" ht="20.100000000000001" customHeight="1">
      <c r="B60" s="332">
        <v>70111</v>
      </c>
      <c r="C60" s="144" t="s">
        <v>407</v>
      </c>
      <c r="D60" s="391" t="s">
        <v>408</v>
      </c>
      <c r="E60" s="391">
        <f t="shared" si="0"/>
        <v>1976000</v>
      </c>
      <c r="F60" s="391"/>
      <c r="G60" s="391">
        <v>1976000</v>
      </c>
      <c r="H60" s="391"/>
      <c r="I60" s="391"/>
      <c r="J60" s="391"/>
      <c r="K60" s="391"/>
      <c r="L60" s="487"/>
      <c r="M60" s="391">
        <f t="shared" si="1"/>
        <v>1976000</v>
      </c>
      <c r="N60" s="391"/>
      <c r="O60" s="391"/>
      <c r="P60" s="391"/>
      <c r="Q60" s="391"/>
      <c r="R60" s="409">
        <v>7000000</v>
      </c>
      <c r="S60" s="409">
        <f t="shared" si="2"/>
        <v>5024000</v>
      </c>
      <c r="T60" s="567">
        <v>60</v>
      </c>
    </row>
    <row r="61" spans="2:20" s="427" customFormat="1" ht="20.100000000000001" customHeight="1">
      <c r="B61" s="320"/>
      <c r="C61" s="311"/>
      <c r="D61" s="528" t="s">
        <v>1209</v>
      </c>
      <c r="E61" s="571">
        <f t="shared" ref="E61:S61" si="3">SUM(E7:E60)</f>
        <v>3063610432.75</v>
      </c>
      <c r="F61" s="571">
        <f t="shared" si="3"/>
        <v>1114763382.3199999</v>
      </c>
      <c r="G61" s="571">
        <f t="shared" si="3"/>
        <v>1298230926.5799999</v>
      </c>
      <c r="H61" s="571">
        <f t="shared" si="3"/>
        <v>650616123.85000002</v>
      </c>
      <c r="I61" s="571">
        <f t="shared" si="3"/>
        <v>0</v>
      </c>
      <c r="J61" s="571">
        <f t="shared" si="3"/>
        <v>0</v>
      </c>
      <c r="K61" s="571">
        <f t="shared" si="3"/>
        <v>0</v>
      </c>
      <c r="L61" s="571">
        <f t="shared" si="3"/>
        <v>654532362.81000006</v>
      </c>
      <c r="M61" s="571">
        <f t="shared" si="3"/>
        <v>3718142795.5599999</v>
      </c>
      <c r="N61" s="571"/>
      <c r="O61" s="571"/>
      <c r="P61" s="571"/>
      <c r="Q61" s="571"/>
      <c r="R61" s="571">
        <f t="shared" si="3"/>
        <v>6977112832.4799986</v>
      </c>
      <c r="S61" s="571">
        <f t="shared" si="3"/>
        <v>3258970036.9199996</v>
      </c>
      <c r="T61" s="567">
        <v>61</v>
      </c>
    </row>
    <row r="62" spans="2:20" s="427" customFormat="1" ht="20.100000000000001" customHeight="1">
      <c r="B62" s="332">
        <v>70111</v>
      </c>
      <c r="C62" s="144"/>
      <c r="D62" s="391" t="s">
        <v>1210</v>
      </c>
      <c r="E62" s="391">
        <f>F62+G62+H62+I62+J62+K62</f>
        <v>0</v>
      </c>
      <c r="F62" s="391"/>
      <c r="G62" s="391"/>
      <c r="H62" s="391"/>
      <c r="I62" s="391"/>
      <c r="J62" s="391"/>
      <c r="K62" s="391"/>
      <c r="L62" s="487"/>
      <c r="M62" s="391">
        <f t="shared" si="1"/>
        <v>0</v>
      </c>
      <c r="N62" s="391"/>
      <c r="O62" s="391"/>
      <c r="P62" s="391"/>
      <c r="Q62" s="391"/>
      <c r="R62" s="409"/>
      <c r="S62" s="409">
        <f t="shared" si="2"/>
        <v>0</v>
      </c>
      <c r="T62" s="567">
        <v>62</v>
      </c>
    </row>
    <row r="63" spans="2:20" s="427" customFormat="1" ht="20.100000000000001" customHeight="1">
      <c r="B63" s="332">
        <v>70111</v>
      </c>
      <c r="C63" s="144" t="s">
        <v>135</v>
      </c>
      <c r="D63" s="391" t="s">
        <v>136</v>
      </c>
      <c r="E63" s="391">
        <f>F63+G63+H63+I63+J63+K63</f>
        <v>987884841.87</v>
      </c>
      <c r="F63" s="391">
        <v>425614763.87</v>
      </c>
      <c r="G63" s="391">
        <v>537120000</v>
      </c>
      <c r="H63" s="391">
        <v>25150078</v>
      </c>
      <c r="I63" s="391"/>
      <c r="J63" s="391"/>
      <c r="K63" s="391"/>
      <c r="L63" s="487"/>
      <c r="M63" s="391">
        <f t="shared" si="1"/>
        <v>987884841.87</v>
      </c>
      <c r="N63" s="391">
        <v>0</v>
      </c>
      <c r="O63" s="391"/>
      <c r="P63" s="391"/>
      <c r="Q63" s="391"/>
      <c r="R63" s="409">
        <v>1328545786.3900001</v>
      </c>
      <c r="S63" s="409">
        <f t="shared" si="2"/>
        <v>340660944.5200001</v>
      </c>
      <c r="T63" s="567">
        <v>63</v>
      </c>
    </row>
    <row r="64" spans="2:20" s="427" customFormat="1" ht="20.100000000000001" customHeight="1">
      <c r="B64" s="332">
        <v>70111</v>
      </c>
      <c r="C64" s="144" t="s">
        <v>410</v>
      </c>
      <c r="D64" s="391" t="s">
        <v>411</v>
      </c>
      <c r="E64" s="391">
        <f>F64+G64+H64+I64+J64+K64</f>
        <v>6500000</v>
      </c>
      <c r="F64" s="391"/>
      <c r="G64" s="391">
        <v>6500000</v>
      </c>
      <c r="H64" s="391"/>
      <c r="I64" s="391"/>
      <c r="J64" s="391"/>
      <c r="K64" s="391"/>
      <c r="L64" s="487"/>
      <c r="M64" s="391">
        <f t="shared" si="1"/>
        <v>6500000</v>
      </c>
      <c r="N64" s="391"/>
      <c r="O64" s="391"/>
      <c r="P64" s="391"/>
      <c r="Q64" s="391"/>
      <c r="R64" s="409">
        <v>92669483.620000005</v>
      </c>
      <c r="S64" s="409">
        <f t="shared" si="2"/>
        <v>86169483.620000005</v>
      </c>
      <c r="T64" s="567">
        <v>64</v>
      </c>
    </row>
    <row r="65" spans="2:20" s="427" customFormat="1" ht="20.100000000000001" customHeight="1">
      <c r="B65" s="332">
        <v>70111</v>
      </c>
      <c r="C65" s="144" t="s">
        <v>1211</v>
      </c>
      <c r="D65" s="391" t="s">
        <v>1212</v>
      </c>
      <c r="E65" s="391">
        <f>F65+G65+H65+I65+J65+K65</f>
        <v>0</v>
      </c>
      <c r="F65" s="391"/>
      <c r="G65" s="391"/>
      <c r="H65" s="391"/>
      <c r="I65" s="391"/>
      <c r="J65" s="391"/>
      <c r="K65" s="391"/>
      <c r="L65" s="487"/>
      <c r="M65" s="391">
        <f t="shared" si="1"/>
        <v>0</v>
      </c>
      <c r="N65" s="391"/>
      <c r="O65" s="391"/>
      <c r="P65" s="391"/>
      <c r="Q65" s="391"/>
      <c r="R65" s="409"/>
      <c r="S65" s="409">
        <f t="shared" si="2"/>
        <v>0</v>
      </c>
      <c r="T65" s="567">
        <v>65</v>
      </c>
    </row>
    <row r="66" spans="2:20" s="427" customFormat="1" ht="20.100000000000001" customHeight="1">
      <c r="B66" s="320"/>
      <c r="C66" s="311"/>
      <c r="D66" s="528" t="s">
        <v>1209</v>
      </c>
      <c r="E66" s="571">
        <f t="shared" ref="E66:S66" si="4">SUM(E63:E65)</f>
        <v>994384841.87</v>
      </c>
      <c r="F66" s="571">
        <f t="shared" si="4"/>
        <v>425614763.87</v>
      </c>
      <c r="G66" s="571">
        <f t="shared" si="4"/>
        <v>543620000</v>
      </c>
      <c r="H66" s="571">
        <f t="shared" si="4"/>
        <v>25150078</v>
      </c>
      <c r="I66" s="571">
        <f t="shared" si="4"/>
        <v>0</v>
      </c>
      <c r="J66" s="571">
        <f t="shared" si="4"/>
        <v>0</v>
      </c>
      <c r="K66" s="571">
        <f t="shared" si="4"/>
        <v>0</v>
      </c>
      <c r="L66" s="571">
        <f t="shared" si="4"/>
        <v>0</v>
      </c>
      <c r="M66" s="571">
        <f t="shared" si="4"/>
        <v>994384841.87</v>
      </c>
      <c r="N66" s="571"/>
      <c r="O66" s="571"/>
      <c r="P66" s="571"/>
      <c r="Q66" s="571"/>
      <c r="R66" s="571">
        <f t="shared" si="4"/>
        <v>1421215270.0100002</v>
      </c>
      <c r="S66" s="571">
        <f t="shared" si="4"/>
        <v>426830428.1400001</v>
      </c>
      <c r="T66" s="567">
        <v>66</v>
      </c>
    </row>
    <row r="67" spans="2:20" s="427" customFormat="1" ht="20.100000000000001" customHeight="1">
      <c r="B67" s="332">
        <v>70112</v>
      </c>
      <c r="C67" s="144" t="s">
        <v>354</v>
      </c>
      <c r="D67" s="391" t="s">
        <v>355</v>
      </c>
      <c r="E67" s="391">
        <f t="shared" ref="E67:E96" si="5">F67+G67+H67+I67+J67+K67</f>
        <v>2270000</v>
      </c>
      <c r="F67" s="391"/>
      <c r="G67" s="391">
        <v>2270000</v>
      </c>
      <c r="H67" s="391"/>
      <c r="I67" s="391"/>
      <c r="J67" s="391"/>
      <c r="K67" s="391"/>
      <c r="L67" s="487">
        <v>2000000</v>
      </c>
      <c r="M67" s="391">
        <f t="shared" si="1"/>
        <v>4270000</v>
      </c>
      <c r="N67" s="391"/>
      <c r="O67" s="391"/>
      <c r="P67" s="391"/>
      <c r="Q67" s="391"/>
      <c r="R67" s="409">
        <v>16303380.34</v>
      </c>
      <c r="S67" s="409">
        <f t="shared" si="2"/>
        <v>12033380.34</v>
      </c>
      <c r="T67" s="567">
        <v>67</v>
      </c>
    </row>
    <row r="68" spans="2:20" s="427" customFormat="1" ht="20.100000000000001" customHeight="1">
      <c r="B68" s="332">
        <v>70112</v>
      </c>
      <c r="C68" s="144" t="s">
        <v>357</v>
      </c>
      <c r="D68" s="391" t="s">
        <v>358</v>
      </c>
      <c r="E68" s="391">
        <f t="shared" si="5"/>
        <v>1200000</v>
      </c>
      <c r="F68" s="391"/>
      <c r="G68" s="391">
        <v>1200000</v>
      </c>
      <c r="H68" s="391"/>
      <c r="I68" s="391"/>
      <c r="J68" s="391"/>
      <c r="K68" s="391"/>
      <c r="L68" s="487"/>
      <c r="M68" s="391">
        <f t="shared" si="1"/>
        <v>1200000</v>
      </c>
      <c r="N68" s="391"/>
      <c r="O68" s="391"/>
      <c r="P68" s="391"/>
      <c r="Q68" s="391"/>
      <c r="R68" s="409">
        <v>4000000</v>
      </c>
      <c r="S68" s="409">
        <f t="shared" si="2"/>
        <v>2800000</v>
      </c>
      <c r="T68" s="567">
        <v>68</v>
      </c>
    </row>
    <row r="69" spans="2:20" s="427" customFormat="1" ht="20.100000000000001" customHeight="1">
      <c r="B69" s="332">
        <v>70112</v>
      </c>
      <c r="C69" s="144" t="s">
        <v>1315</v>
      </c>
      <c r="D69" s="391" t="s">
        <v>470</v>
      </c>
      <c r="E69" s="391">
        <f t="shared" si="5"/>
        <v>3300000</v>
      </c>
      <c r="F69" s="391"/>
      <c r="G69" s="391">
        <v>3300000</v>
      </c>
      <c r="H69" s="391"/>
      <c r="I69" s="391"/>
      <c r="J69" s="391"/>
      <c r="K69" s="391"/>
      <c r="L69" s="487"/>
      <c r="M69" s="391">
        <f t="shared" si="1"/>
        <v>3300000</v>
      </c>
      <c r="N69" s="391"/>
      <c r="O69" s="391"/>
      <c r="P69" s="391"/>
      <c r="Q69" s="391"/>
      <c r="R69" s="409">
        <v>5500000</v>
      </c>
      <c r="S69" s="409">
        <f t="shared" si="2"/>
        <v>2200000</v>
      </c>
      <c r="T69" s="567">
        <v>69</v>
      </c>
    </row>
    <row r="70" spans="2:20" s="427" customFormat="1" ht="20.100000000000001" customHeight="1">
      <c r="B70" s="332">
        <v>70112</v>
      </c>
      <c r="C70" s="144" t="s">
        <v>360</v>
      </c>
      <c r="D70" s="391" t="s">
        <v>361</v>
      </c>
      <c r="E70" s="391">
        <f t="shared" si="5"/>
        <v>900000</v>
      </c>
      <c r="F70" s="391"/>
      <c r="G70" s="391">
        <v>900000</v>
      </c>
      <c r="H70" s="391"/>
      <c r="I70" s="391"/>
      <c r="J70" s="391"/>
      <c r="K70" s="391"/>
      <c r="L70" s="487"/>
      <c r="M70" s="391">
        <f t="shared" si="1"/>
        <v>900000</v>
      </c>
      <c r="N70" s="391"/>
      <c r="O70" s="391"/>
      <c r="P70" s="391"/>
      <c r="Q70" s="391"/>
      <c r="R70" s="409">
        <v>1700845.09</v>
      </c>
      <c r="S70" s="409">
        <f t="shared" si="2"/>
        <v>800845.09000000008</v>
      </c>
      <c r="T70" s="567">
        <v>70</v>
      </c>
    </row>
    <row r="71" spans="2:20" s="427" customFormat="1" ht="20.100000000000001" customHeight="1">
      <c r="B71" s="332">
        <v>70112</v>
      </c>
      <c r="C71" s="144" t="s">
        <v>363</v>
      </c>
      <c r="D71" s="391" t="s">
        <v>364</v>
      </c>
      <c r="E71" s="391">
        <f t="shared" si="5"/>
        <v>2400000</v>
      </c>
      <c r="F71" s="391"/>
      <c r="G71" s="391">
        <v>2400000</v>
      </c>
      <c r="H71" s="391"/>
      <c r="I71" s="391"/>
      <c r="J71" s="391"/>
      <c r="K71" s="391"/>
      <c r="L71" s="487"/>
      <c r="M71" s="391">
        <f t="shared" si="1"/>
        <v>2400000</v>
      </c>
      <c r="N71" s="391"/>
      <c r="O71" s="391"/>
      <c r="P71" s="391"/>
      <c r="Q71" s="391"/>
      <c r="R71" s="409">
        <v>3500000</v>
      </c>
      <c r="S71" s="409">
        <f t="shared" si="2"/>
        <v>1100000</v>
      </c>
      <c r="T71" s="567">
        <v>71</v>
      </c>
    </row>
    <row r="72" spans="2:20" s="427" customFormat="1" ht="20.100000000000001" customHeight="1">
      <c r="B72" s="332">
        <v>70112</v>
      </c>
      <c r="C72" s="144" t="s">
        <v>147</v>
      </c>
      <c r="D72" s="391" t="s">
        <v>148</v>
      </c>
      <c r="E72" s="391">
        <f t="shared" si="5"/>
        <v>100949233.84</v>
      </c>
      <c r="F72" s="391">
        <v>86361733.840000004</v>
      </c>
      <c r="G72" s="391">
        <v>12125000</v>
      </c>
      <c r="H72" s="391">
        <v>2462500</v>
      </c>
      <c r="I72" s="391"/>
      <c r="J72" s="391"/>
      <c r="K72" s="391"/>
      <c r="L72" s="487"/>
      <c r="M72" s="391">
        <f t="shared" ref="M72:M96" si="6">L72+E72</f>
        <v>100949233.84</v>
      </c>
      <c r="N72" s="391">
        <v>0</v>
      </c>
      <c r="O72" s="391"/>
      <c r="P72" s="391"/>
      <c r="Q72" s="391"/>
      <c r="R72" s="409">
        <v>149213696.99000001</v>
      </c>
      <c r="S72" s="409">
        <f t="shared" ref="S72:S137" si="7">R72-M72</f>
        <v>48264463.150000006</v>
      </c>
      <c r="T72" s="567">
        <v>72</v>
      </c>
    </row>
    <row r="73" spans="2:20" s="427" customFormat="1" ht="20.100000000000001" customHeight="1">
      <c r="B73" s="332">
        <v>70112</v>
      </c>
      <c r="C73" s="144" t="s">
        <v>455</v>
      </c>
      <c r="D73" s="391" t="s">
        <v>456</v>
      </c>
      <c r="E73" s="391">
        <f t="shared" si="5"/>
        <v>1300000</v>
      </c>
      <c r="F73" s="391"/>
      <c r="G73" s="391">
        <v>1300000</v>
      </c>
      <c r="H73" s="391"/>
      <c r="I73" s="391"/>
      <c r="J73" s="391"/>
      <c r="K73" s="391"/>
      <c r="L73" s="487"/>
      <c r="M73" s="391">
        <f t="shared" si="6"/>
        <v>1300000</v>
      </c>
      <c r="N73" s="391"/>
      <c r="O73" s="391"/>
      <c r="P73" s="391"/>
      <c r="Q73" s="391"/>
      <c r="R73" s="409">
        <v>2000000</v>
      </c>
      <c r="S73" s="409">
        <f t="shared" si="7"/>
        <v>700000</v>
      </c>
      <c r="T73" s="567">
        <v>73</v>
      </c>
    </row>
    <row r="74" spans="2:20" s="427" customFormat="1" ht="20.100000000000001" customHeight="1">
      <c r="B74" s="332">
        <v>70112</v>
      </c>
      <c r="C74" s="144" t="s">
        <v>1502</v>
      </c>
      <c r="D74" s="391" t="s">
        <v>1503</v>
      </c>
      <c r="E74" s="391">
        <f t="shared" si="5"/>
        <v>3600000</v>
      </c>
      <c r="F74" s="391"/>
      <c r="G74" s="391">
        <v>3600000</v>
      </c>
      <c r="H74" s="391"/>
      <c r="I74" s="391"/>
      <c r="J74" s="391"/>
      <c r="K74" s="391"/>
      <c r="L74" s="487"/>
      <c r="M74" s="391">
        <f t="shared" si="6"/>
        <v>3600000</v>
      </c>
      <c r="N74" s="391"/>
      <c r="O74" s="391"/>
      <c r="P74" s="391"/>
      <c r="Q74" s="391"/>
      <c r="R74" s="409">
        <v>6000000</v>
      </c>
      <c r="S74" s="409">
        <f t="shared" si="7"/>
        <v>2400000</v>
      </c>
      <c r="T74" s="567">
        <v>74</v>
      </c>
    </row>
    <row r="75" spans="2:20" s="427" customFormat="1" ht="20.100000000000001" customHeight="1">
      <c r="B75" s="332">
        <v>70112</v>
      </c>
      <c r="C75" s="144" t="s">
        <v>149</v>
      </c>
      <c r="D75" s="391" t="s">
        <v>449</v>
      </c>
      <c r="E75" s="391">
        <f t="shared" si="5"/>
        <v>51753186.520000003</v>
      </c>
      <c r="F75" s="391">
        <v>43913186.520000003</v>
      </c>
      <c r="G75" s="391">
        <v>7500000</v>
      </c>
      <c r="H75" s="391">
        <v>340000</v>
      </c>
      <c r="I75" s="391"/>
      <c r="J75" s="391"/>
      <c r="K75" s="391"/>
      <c r="L75" s="487"/>
      <c r="M75" s="391">
        <f t="shared" si="6"/>
        <v>51753186.520000003</v>
      </c>
      <c r="N75" s="391">
        <v>0</v>
      </c>
      <c r="O75" s="391"/>
      <c r="P75" s="391"/>
      <c r="Q75" s="391"/>
      <c r="R75" s="409">
        <v>90184120.810000002</v>
      </c>
      <c r="S75" s="409">
        <f t="shared" si="7"/>
        <v>38430934.289999999</v>
      </c>
      <c r="T75" s="567">
        <v>75</v>
      </c>
    </row>
    <row r="76" spans="2:20" s="427" customFormat="1" ht="20.100000000000001" customHeight="1">
      <c r="B76" s="332">
        <v>70112</v>
      </c>
      <c r="C76" s="144" t="s">
        <v>175</v>
      </c>
      <c r="D76" s="391" t="s">
        <v>176</v>
      </c>
      <c r="E76" s="391">
        <f t="shared" si="5"/>
        <v>12214033239.98</v>
      </c>
      <c r="F76" s="391">
        <v>223041632.88999999</v>
      </c>
      <c r="G76" s="391">
        <v>58933500</v>
      </c>
      <c r="H76" s="391">
        <v>6671746304.3299999</v>
      </c>
      <c r="I76" s="391"/>
      <c r="J76" s="391"/>
      <c r="K76" s="391">
        <f>193278818.27+236210068.33+191523347.93+4639299568.23</f>
        <v>5260311802.7599993</v>
      </c>
      <c r="L76" s="487"/>
      <c r="M76" s="391">
        <f t="shared" si="6"/>
        <v>12214033239.98</v>
      </c>
      <c r="N76" s="391">
        <v>0</v>
      </c>
      <c r="O76" s="391"/>
      <c r="P76" s="391"/>
      <c r="Q76" s="391"/>
      <c r="R76" s="409">
        <v>7134549092.5699997</v>
      </c>
      <c r="S76" s="409">
        <f t="shared" si="7"/>
        <v>-5079484147.4099998</v>
      </c>
      <c r="T76" s="567">
        <v>76</v>
      </c>
    </row>
    <row r="77" spans="2:20" s="427" customFormat="1" ht="20.100000000000001" customHeight="1">
      <c r="B77" s="332">
        <v>70112</v>
      </c>
      <c r="C77" s="144" t="s">
        <v>487</v>
      </c>
      <c r="D77" s="391" t="s">
        <v>488</v>
      </c>
      <c r="E77" s="391">
        <f t="shared" si="5"/>
        <v>2990000</v>
      </c>
      <c r="F77" s="391"/>
      <c r="G77" s="391">
        <v>2990000</v>
      </c>
      <c r="H77" s="391"/>
      <c r="I77" s="391"/>
      <c r="J77" s="391"/>
      <c r="K77" s="391"/>
      <c r="L77" s="487"/>
      <c r="M77" s="391">
        <f t="shared" si="6"/>
        <v>2990000</v>
      </c>
      <c r="N77" s="391"/>
      <c r="O77" s="391"/>
      <c r="P77" s="391"/>
      <c r="Q77" s="391"/>
      <c r="R77" s="409">
        <v>3401690.17</v>
      </c>
      <c r="S77" s="409">
        <f t="shared" si="7"/>
        <v>411690.16999999993</v>
      </c>
      <c r="T77" s="567">
        <v>77</v>
      </c>
    </row>
    <row r="78" spans="2:20" s="427" customFormat="1" ht="20.100000000000001" customHeight="1">
      <c r="B78" s="332">
        <v>70112</v>
      </c>
      <c r="C78" s="144" t="s">
        <v>490</v>
      </c>
      <c r="D78" s="391" t="s">
        <v>1213</v>
      </c>
      <c r="E78" s="391">
        <f t="shared" si="5"/>
        <v>3240000</v>
      </c>
      <c r="F78" s="391"/>
      <c r="G78" s="391">
        <v>3240000</v>
      </c>
      <c r="H78" s="391"/>
      <c r="I78" s="391"/>
      <c r="J78" s="391"/>
      <c r="K78" s="391"/>
      <c r="L78" s="487"/>
      <c r="M78" s="391">
        <f t="shared" si="6"/>
        <v>3240000</v>
      </c>
      <c r="N78" s="391"/>
      <c r="O78" s="391"/>
      <c r="P78" s="391"/>
      <c r="Q78" s="391"/>
      <c r="R78" s="409">
        <v>100000258.52</v>
      </c>
      <c r="S78" s="409">
        <f t="shared" si="7"/>
        <v>96760258.519999996</v>
      </c>
      <c r="T78" s="567">
        <v>78</v>
      </c>
    </row>
    <row r="79" spans="2:20" s="427" customFormat="1" ht="20.100000000000001" customHeight="1">
      <c r="B79" s="332">
        <v>70112</v>
      </c>
      <c r="C79" s="144" t="s">
        <v>493</v>
      </c>
      <c r="D79" s="391" t="s">
        <v>494</v>
      </c>
      <c r="E79" s="391">
        <f t="shared" si="5"/>
        <v>4550000</v>
      </c>
      <c r="F79" s="391"/>
      <c r="G79" s="391">
        <v>4550000</v>
      </c>
      <c r="H79" s="391"/>
      <c r="I79" s="391"/>
      <c r="J79" s="391"/>
      <c r="K79" s="391"/>
      <c r="L79" s="487"/>
      <c r="M79" s="391">
        <f t="shared" si="6"/>
        <v>4550000</v>
      </c>
      <c r="N79" s="391"/>
      <c r="O79" s="391"/>
      <c r="P79" s="391"/>
      <c r="Q79" s="391"/>
      <c r="R79" s="409">
        <v>5669483.6200000001</v>
      </c>
      <c r="S79" s="409">
        <f t="shared" si="7"/>
        <v>1119483.6200000001</v>
      </c>
      <c r="T79" s="567">
        <v>79</v>
      </c>
    </row>
    <row r="80" spans="2:20" s="427" customFormat="1" ht="20.100000000000001" customHeight="1">
      <c r="B80" s="332">
        <v>70112</v>
      </c>
      <c r="C80" s="144" t="s">
        <v>496</v>
      </c>
      <c r="D80" s="391" t="s">
        <v>497</v>
      </c>
      <c r="E80" s="391">
        <f t="shared" si="5"/>
        <v>3250000</v>
      </c>
      <c r="F80" s="391"/>
      <c r="G80" s="391">
        <v>3250000</v>
      </c>
      <c r="H80" s="391"/>
      <c r="I80" s="391"/>
      <c r="J80" s="391"/>
      <c r="K80" s="391"/>
      <c r="L80" s="487"/>
      <c r="M80" s="391">
        <f t="shared" si="6"/>
        <v>3250000</v>
      </c>
      <c r="N80" s="391"/>
      <c r="O80" s="391"/>
      <c r="P80" s="391"/>
      <c r="Q80" s="391"/>
      <c r="R80" s="409">
        <v>5669483.6200000001</v>
      </c>
      <c r="S80" s="409">
        <f t="shared" si="7"/>
        <v>2419483.62</v>
      </c>
      <c r="T80" s="567">
        <v>80</v>
      </c>
    </row>
    <row r="81" spans="2:20" s="427" customFormat="1" ht="20.100000000000001" customHeight="1">
      <c r="B81" s="332">
        <v>70112</v>
      </c>
      <c r="C81" s="144" t="s">
        <v>499</v>
      </c>
      <c r="D81" s="391" t="s">
        <v>500</v>
      </c>
      <c r="E81" s="391">
        <f t="shared" si="5"/>
        <v>8620000</v>
      </c>
      <c r="F81" s="391"/>
      <c r="G81" s="391">
        <v>8620000</v>
      </c>
      <c r="H81" s="391"/>
      <c r="I81" s="391"/>
      <c r="J81" s="391"/>
      <c r="K81" s="391"/>
      <c r="L81" s="487"/>
      <c r="M81" s="391">
        <f t="shared" si="6"/>
        <v>8620000</v>
      </c>
      <c r="N81" s="391"/>
      <c r="O81" s="391"/>
      <c r="P81" s="391"/>
      <c r="Q81" s="391"/>
      <c r="R81" s="409">
        <v>16000000</v>
      </c>
      <c r="S81" s="409">
        <f t="shared" si="7"/>
        <v>7380000</v>
      </c>
      <c r="T81" s="567">
        <v>81</v>
      </c>
    </row>
    <row r="82" spans="2:20" s="427" customFormat="1" ht="20.100000000000001" customHeight="1">
      <c r="B82" s="332">
        <v>70112</v>
      </c>
      <c r="C82" s="144" t="s">
        <v>502</v>
      </c>
      <c r="D82" s="391" t="s">
        <v>503</v>
      </c>
      <c r="E82" s="391">
        <f t="shared" si="5"/>
        <v>149618000</v>
      </c>
      <c r="F82" s="391"/>
      <c r="G82" s="391">
        <v>45573000</v>
      </c>
      <c r="H82" s="391">
        <v>39045000</v>
      </c>
      <c r="I82" s="391"/>
      <c r="J82" s="391"/>
      <c r="K82" s="391">
        <v>65000000</v>
      </c>
      <c r="L82" s="487">
        <v>97058805.189999998</v>
      </c>
      <c r="M82" s="391">
        <f t="shared" si="6"/>
        <v>246676805.19</v>
      </c>
      <c r="N82" s="391"/>
      <c r="O82" s="391"/>
      <c r="P82" s="391"/>
      <c r="Q82" s="391"/>
      <c r="R82" s="409">
        <v>485109892.69999999</v>
      </c>
      <c r="S82" s="409">
        <f t="shared" si="7"/>
        <v>238433087.50999999</v>
      </c>
      <c r="T82" s="567">
        <v>82</v>
      </c>
    </row>
    <row r="83" spans="2:20" s="427" customFormat="1" ht="20.100000000000001" customHeight="1">
      <c r="B83" s="332">
        <v>70112</v>
      </c>
      <c r="C83" s="144" t="s">
        <v>505</v>
      </c>
      <c r="D83" s="391" t="s">
        <v>506</v>
      </c>
      <c r="E83" s="391">
        <f t="shared" si="5"/>
        <v>3450000</v>
      </c>
      <c r="F83" s="391"/>
      <c r="G83" s="391">
        <v>3450000</v>
      </c>
      <c r="H83" s="391"/>
      <c r="I83" s="391"/>
      <c r="J83" s="391"/>
      <c r="K83" s="391"/>
      <c r="L83" s="487"/>
      <c r="M83" s="391">
        <f t="shared" si="6"/>
        <v>3450000</v>
      </c>
      <c r="N83" s="391"/>
      <c r="O83" s="391"/>
      <c r="P83" s="391"/>
      <c r="Q83" s="391"/>
      <c r="R83" s="409">
        <v>5000000</v>
      </c>
      <c r="S83" s="409">
        <f t="shared" si="7"/>
        <v>1550000</v>
      </c>
      <c r="T83" s="567">
        <v>83</v>
      </c>
    </row>
    <row r="84" spans="2:20" s="427" customFormat="1" ht="20.100000000000001" customHeight="1">
      <c r="B84" s="332">
        <v>70112</v>
      </c>
      <c r="C84" s="144" t="s">
        <v>508</v>
      </c>
      <c r="D84" s="391" t="s">
        <v>509</v>
      </c>
      <c r="E84" s="391">
        <f t="shared" si="5"/>
        <v>2165000</v>
      </c>
      <c r="F84" s="391"/>
      <c r="G84" s="391">
        <v>2165000</v>
      </c>
      <c r="H84" s="391"/>
      <c r="I84" s="391"/>
      <c r="J84" s="391"/>
      <c r="K84" s="391"/>
      <c r="L84" s="487"/>
      <c r="M84" s="391">
        <f t="shared" si="6"/>
        <v>2165000</v>
      </c>
      <c r="N84" s="391"/>
      <c r="O84" s="391"/>
      <c r="P84" s="391"/>
      <c r="Q84" s="391"/>
      <c r="R84" s="409">
        <v>5000000</v>
      </c>
      <c r="S84" s="409">
        <f t="shared" si="7"/>
        <v>2835000</v>
      </c>
      <c r="T84" s="567">
        <v>84</v>
      </c>
    </row>
    <row r="85" spans="2:20" s="427" customFormat="1" ht="20.100000000000001" customHeight="1">
      <c r="B85" s="332">
        <v>70112</v>
      </c>
      <c r="C85" s="144" t="s">
        <v>511</v>
      </c>
      <c r="D85" s="391" t="s">
        <v>512</v>
      </c>
      <c r="E85" s="391">
        <f t="shared" si="5"/>
        <v>780000</v>
      </c>
      <c r="F85" s="391"/>
      <c r="G85" s="391">
        <v>780000</v>
      </c>
      <c r="H85" s="391"/>
      <c r="I85" s="391"/>
      <c r="J85" s="391"/>
      <c r="K85" s="391"/>
      <c r="L85" s="487"/>
      <c r="M85" s="391">
        <f t="shared" si="6"/>
        <v>780000</v>
      </c>
      <c r="N85" s="391"/>
      <c r="O85" s="391"/>
      <c r="P85" s="391"/>
      <c r="Q85" s="391"/>
      <c r="R85" s="409">
        <v>2834741.81</v>
      </c>
      <c r="S85" s="409">
        <f t="shared" si="7"/>
        <v>2054741.81</v>
      </c>
      <c r="T85" s="567">
        <v>85</v>
      </c>
    </row>
    <row r="86" spans="2:20" s="427" customFormat="1" ht="20.100000000000001" customHeight="1">
      <c r="B86" s="332">
        <v>70112</v>
      </c>
      <c r="C86" s="144" t="s">
        <v>514</v>
      </c>
      <c r="D86" s="391" t="s">
        <v>515</v>
      </c>
      <c r="E86" s="391">
        <f t="shared" si="5"/>
        <v>1560000</v>
      </c>
      <c r="F86" s="391"/>
      <c r="G86" s="391">
        <v>1560000</v>
      </c>
      <c r="H86" s="391"/>
      <c r="I86" s="391"/>
      <c r="J86" s="391"/>
      <c r="K86" s="391"/>
      <c r="L86" s="487"/>
      <c r="M86" s="391">
        <f t="shared" si="6"/>
        <v>1560000</v>
      </c>
      <c r="N86" s="391"/>
      <c r="O86" s="391"/>
      <c r="P86" s="391"/>
      <c r="Q86" s="391"/>
      <c r="R86" s="409">
        <v>5000000</v>
      </c>
      <c r="S86" s="409">
        <f t="shared" si="7"/>
        <v>3440000</v>
      </c>
      <c r="T86" s="567">
        <v>86</v>
      </c>
    </row>
    <row r="87" spans="2:20" s="427" customFormat="1" ht="21.75" customHeight="1">
      <c r="B87" s="332">
        <v>70112</v>
      </c>
      <c r="C87" s="144" t="s">
        <v>517</v>
      </c>
      <c r="D87" s="391" t="s">
        <v>518</v>
      </c>
      <c r="E87" s="391">
        <f t="shared" si="5"/>
        <v>2650000</v>
      </c>
      <c r="F87" s="391"/>
      <c r="G87" s="391">
        <v>2650000</v>
      </c>
      <c r="H87" s="391"/>
      <c r="I87" s="391"/>
      <c r="J87" s="391"/>
      <c r="K87" s="391"/>
      <c r="L87" s="487"/>
      <c r="M87" s="391">
        <f t="shared" si="6"/>
        <v>2650000</v>
      </c>
      <c r="N87" s="391"/>
      <c r="O87" s="391"/>
      <c r="P87" s="391"/>
      <c r="Q87" s="391"/>
      <c r="R87" s="409">
        <v>5000000</v>
      </c>
      <c r="S87" s="409">
        <f t="shared" si="7"/>
        <v>2350000</v>
      </c>
      <c r="T87" s="567">
        <v>87</v>
      </c>
    </row>
    <row r="88" spans="2:20" s="427" customFormat="1" ht="20.100000000000001" customHeight="1">
      <c r="B88" s="332">
        <v>70112</v>
      </c>
      <c r="C88" s="144"/>
      <c r="D88" s="391" t="s">
        <v>1316</v>
      </c>
      <c r="E88" s="391">
        <f t="shared" si="5"/>
        <v>2400000</v>
      </c>
      <c r="F88" s="391"/>
      <c r="G88" s="391">
        <v>2400000</v>
      </c>
      <c r="H88" s="391"/>
      <c r="I88" s="391"/>
      <c r="J88" s="391"/>
      <c r="K88" s="391"/>
      <c r="L88" s="487"/>
      <c r="M88" s="391">
        <f t="shared" si="6"/>
        <v>2400000</v>
      </c>
      <c r="N88" s="391"/>
      <c r="O88" s="391"/>
      <c r="P88" s="391"/>
      <c r="Q88" s="391"/>
      <c r="R88" s="409">
        <v>5000000</v>
      </c>
      <c r="S88" s="409">
        <f t="shared" si="7"/>
        <v>2600000</v>
      </c>
      <c r="T88" s="567">
        <v>88</v>
      </c>
    </row>
    <row r="89" spans="2:20" s="427" customFormat="1" ht="20.100000000000001" customHeight="1">
      <c r="B89" s="332">
        <v>70112</v>
      </c>
      <c r="C89" s="144" t="s">
        <v>1499</v>
      </c>
      <c r="D89" s="391" t="s">
        <v>2014</v>
      </c>
      <c r="E89" s="391">
        <f t="shared" si="5"/>
        <v>2900000</v>
      </c>
      <c r="F89" s="391"/>
      <c r="G89" s="391">
        <v>2900000</v>
      </c>
      <c r="H89" s="391"/>
      <c r="I89" s="391"/>
      <c r="J89" s="391"/>
      <c r="K89" s="391"/>
      <c r="L89" s="487"/>
      <c r="M89" s="391">
        <f t="shared" si="6"/>
        <v>2900000</v>
      </c>
      <c r="N89" s="391"/>
      <c r="O89" s="391"/>
      <c r="P89" s="391"/>
      <c r="Q89" s="391"/>
      <c r="R89" s="409">
        <v>3000000</v>
      </c>
      <c r="S89" s="409">
        <f t="shared" si="7"/>
        <v>100000</v>
      </c>
      <c r="T89" s="567">
        <v>89</v>
      </c>
    </row>
    <row r="90" spans="2:20" s="427" customFormat="1" ht="20.100000000000001" customHeight="1">
      <c r="B90" s="332">
        <v>70112</v>
      </c>
      <c r="C90" s="144" t="s">
        <v>178</v>
      </c>
      <c r="D90" s="391" t="s">
        <v>1317</v>
      </c>
      <c r="E90" s="391">
        <f t="shared" si="5"/>
        <v>256821753.68000001</v>
      </c>
      <c r="F90" s="391">
        <v>179310174.05000001</v>
      </c>
      <c r="G90" s="391">
        <v>77511579.629999995</v>
      </c>
      <c r="H90" s="391"/>
      <c r="I90" s="391"/>
      <c r="J90" s="391"/>
      <c r="K90" s="391"/>
      <c r="L90" s="487"/>
      <c r="M90" s="391">
        <f t="shared" si="6"/>
        <v>256821753.68000001</v>
      </c>
      <c r="N90" s="391">
        <v>0</v>
      </c>
      <c r="O90" s="391"/>
      <c r="P90" s="391"/>
      <c r="Q90" s="391"/>
      <c r="R90" s="409">
        <v>411741931</v>
      </c>
      <c r="S90" s="409">
        <f t="shared" si="7"/>
        <v>154920177.31999999</v>
      </c>
      <c r="T90" s="567">
        <v>90</v>
      </c>
    </row>
    <row r="91" spans="2:20" s="427" customFormat="1" ht="20.100000000000001" customHeight="1">
      <c r="B91" s="332">
        <v>70112</v>
      </c>
      <c r="C91" s="144" t="s">
        <v>181</v>
      </c>
      <c r="D91" s="391" t="s">
        <v>182</v>
      </c>
      <c r="E91" s="391">
        <f t="shared" si="5"/>
        <v>3360000</v>
      </c>
      <c r="F91" s="391"/>
      <c r="G91" s="391">
        <v>3360000</v>
      </c>
      <c r="H91" s="391"/>
      <c r="I91" s="391"/>
      <c r="J91" s="391"/>
      <c r="K91" s="391"/>
      <c r="L91" s="487"/>
      <c r="M91" s="391">
        <f t="shared" si="6"/>
        <v>3360000</v>
      </c>
      <c r="N91" s="391"/>
      <c r="O91" s="391"/>
      <c r="P91" s="391"/>
      <c r="Q91" s="391"/>
      <c r="R91" s="409">
        <v>6123042.3099999996</v>
      </c>
      <c r="S91" s="409">
        <f t="shared" si="7"/>
        <v>2763042.3099999996</v>
      </c>
      <c r="T91" s="567">
        <v>91</v>
      </c>
    </row>
    <row r="92" spans="2:20" s="427" customFormat="1" ht="20.100000000000001" customHeight="1">
      <c r="B92" s="332">
        <v>70112</v>
      </c>
      <c r="C92" s="144" t="s">
        <v>184</v>
      </c>
      <c r="D92" s="391" t="s">
        <v>185</v>
      </c>
      <c r="E92" s="391">
        <f t="shared" si="5"/>
        <v>341821.9</v>
      </c>
      <c r="F92" s="391">
        <v>341821.9</v>
      </c>
      <c r="G92" s="391"/>
      <c r="H92" s="391"/>
      <c r="I92" s="391"/>
      <c r="J92" s="391"/>
      <c r="K92" s="391"/>
      <c r="L92" s="487"/>
      <c r="M92" s="391">
        <f t="shared" si="6"/>
        <v>341821.9</v>
      </c>
      <c r="N92" s="391">
        <v>0</v>
      </c>
      <c r="O92" s="391"/>
      <c r="P92" s="391"/>
      <c r="Q92" s="391"/>
      <c r="R92" s="409">
        <v>2445047.19</v>
      </c>
      <c r="S92" s="409">
        <f t="shared" si="7"/>
        <v>2103225.29</v>
      </c>
      <c r="T92" s="567">
        <v>92</v>
      </c>
    </row>
    <row r="93" spans="2:20" s="427" customFormat="1" ht="22.5" customHeight="1">
      <c r="B93" s="332">
        <v>70112</v>
      </c>
      <c r="C93" s="144"/>
      <c r="D93" s="391" t="s">
        <v>1214</v>
      </c>
      <c r="E93" s="391">
        <f t="shared" si="5"/>
        <v>0</v>
      </c>
      <c r="F93" s="391"/>
      <c r="G93" s="391"/>
      <c r="H93" s="391"/>
      <c r="I93" s="391"/>
      <c r="J93" s="391"/>
      <c r="K93" s="391"/>
      <c r="L93" s="487"/>
      <c r="M93" s="391">
        <f t="shared" si="6"/>
        <v>0</v>
      </c>
      <c r="N93" s="391"/>
      <c r="O93" s="391"/>
      <c r="P93" s="391"/>
      <c r="Q93" s="391"/>
      <c r="R93" s="409"/>
      <c r="S93" s="409">
        <f t="shared" si="7"/>
        <v>0</v>
      </c>
      <c r="T93" s="567">
        <v>93</v>
      </c>
    </row>
    <row r="94" spans="2:20" s="427" customFormat="1" ht="20.100000000000001" customHeight="1">
      <c r="B94" s="332">
        <v>70112</v>
      </c>
      <c r="C94" s="144" t="s">
        <v>466</v>
      </c>
      <c r="D94" s="391" t="s">
        <v>467</v>
      </c>
      <c r="E94" s="391">
        <f t="shared" si="5"/>
        <v>3250000</v>
      </c>
      <c r="F94" s="391"/>
      <c r="G94" s="391">
        <v>3250000</v>
      </c>
      <c r="H94" s="391"/>
      <c r="I94" s="391"/>
      <c r="J94" s="391"/>
      <c r="K94" s="391"/>
      <c r="L94" s="487"/>
      <c r="M94" s="391">
        <f t="shared" si="6"/>
        <v>3250000</v>
      </c>
      <c r="N94" s="391"/>
      <c r="O94" s="391"/>
      <c r="P94" s="391"/>
      <c r="Q94" s="391"/>
      <c r="R94" s="409">
        <v>5000000</v>
      </c>
      <c r="S94" s="409">
        <f t="shared" si="7"/>
        <v>1750000</v>
      </c>
      <c r="T94" s="567">
        <v>94</v>
      </c>
    </row>
    <row r="95" spans="2:20" s="427" customFormat="1" ht="20.100000000000001" customHeight="1">
      <c r="B95" s="332">
        <v>70112</v>
      </c>
      <c r="C95" s="144" t="s">
        <v>577</v>
      </c>
      <c r="D95" s="391" t="s">
        <v>578</v>
      </c>
      <c r="E95" s="391">
        <f t="shared" si="5"/>
        <v>2300000</v>
      </c>
      <c r="F95" s="391"/>
      <c r="G95" s="391">
        <v>2300000</v>
      </c>
      <c r="H95" s="391"/>
      <c r="I95" s="391"/>
      <c r="J95" s="391"/>
      <c r="K95" s="391"/>
      <c r="L95" s="487"/>
      <c r="M95" s="391">
        <f t="shared" si="6"/>
        <v>2300000</v>
      </c>
      <c r="N95" s="391"/>
      <c r="O95" s="391"/>
      <c r="P95" s="391"/>
      <c r="Q95" s="391"/>
      <c r="R95" s="409">
        <v>7669483.6200000001</v>
      </c>
      <c r="S95" s="409">
        <f t="shared" si="7"/>
        <v>5369483.6200000001</v>
      </c>
      <c r="T95" s="567">
        <v>95</v>
      </c>
    </row>
    <row r="96" spans="2:20" s="427" customFormat="1" ht="20.100000000000001" customHeight="1">
      <c r="B96" s="332">
        <v>70112</v>
      </c>
      <c r="C96" s="144" t="s">
        <v>580</v>
      </c>
      <c r="D96" s="391" t="s">
        <v>581</v>
      </c>
      <c r="E96" s="391">
        <f t="shared" si="5"/>
        <v>11700000</v>
      </c>
      <c r="F96" s="391"/>
      <c r="G96" s="391">
        <v>11700000</v>
      </c>
      <c r="H96" s="391"/>
      <c r="I96" s="391"/>
      <c r="J96" s="391"/>
      <c r="K96" s="391"/>
      <c r="L96" s="487"/>
      <c r="M96" s="391">
        <f t="shared" si="6"/>
        <v>11700000</v>
      </c>
      <c r="N96" s="391"/>
      <c r="O96" s="391"/>
      <c r="P96" s="391"/>
      <c r="Q96" s="391"/>
      <c r="R96" s="409">
        <v>12854647.970000001</v>
      </c>
      <c r="S96" s="409">
        <f t="shared" si="7"/>
        <v>1154647.9700000007</v>
      </c>
      <c r="T96" s="567">
        <v>96</v>
      </c>
    </row>
    <row r="97" spans="2:20" s="427" customFormat="1" ht="20.100000000000001" customHeight="1">
      <c r="B97" s="320"/>
      <c r="C97" s="311"/>
      <c r="D97" s="528" t="s">
        <v>1215</v>
      </c>
      <c r="E97" s="571">
        <f t="shared" ref="E97:L97" si="8">SUM(E67:E96)</f>
        <v>12847652235.92</v>
      </c>
      <c r="F97" s="571">
        <f t="shared" si="8"/>
        <v>532968549.19999999</v>
      </c>
      <c r="G97" s="571">
        <f t="shared" si="8"/>
        <v>275778079.63</v>
      </c>
      <c r="H97" s="571">
        <f t="shared" si="8"/>
        <v>6713593804.3299999</v>
      </c>
      <c r="I97" s="571">
        <f t="shared" si="8"/>
        <v>0</v>
      </c>
      <c r="J97" s="571">
        <f t="shared" si="8"/>
        <v>0</v>
      </c>
      <c r="K97" s="571">
        <f t="shared" si="8"/>
        <v>5325311802.7599993</v>
      </c>
      <c r="L97" s="571">
        <f t="shared" si="8"/>
        <v>99058805.189999998</v>
      </c>
      <c r="M97" s="571">
        <f>SUM(M67:M96)</f>
        <v>12946711041.110001</v>
      </c>
      <c r="N97" s="571"/>
      <c r="O97" s="571"/>
      <c r="P97" s="571"/>
      <c r="Q97" s="571"/>
      <c r="R97" s="571">
        <f>SUM(R67:R96)</f>
        <v>8505470838.3299999</v>
      </c>
      <c r="S97" s="571">
        <f>SUM(S67:S96)</f>
        <v>-4441240202.7799988</v>
      </c>
      <c r="T97" s="567">
        <v>97</v>
      </c>
    </row>
    <row r="98" spans="2:20" s="427" customFormat="1" ht="20.100000000000001" customHeight="1">
      <c r="B98" s="332">
        <v>70122</v>
      </c>
      <c r="C98" s="144" t="s">
        <v>369</v>
      </c>
      <c r="D98" s="391" t="s">
        <v>370</v>
      </c>
      <c r="E98" s="391">
        <f t="shared" ref="E98:E106" si="9">F98+G98+H98+I98+J98+K98</f>
        <v>1300000</v>
      </c>
      <c r="F98" s="391"/>
      <c r="G98" s="391">
        <v>1300000</v>
      </c>
      <c r="H98" s="391"/>
      <c r="I98" s="391"/>
      <c r="J98" s="391"/>
      <c r="K98" s="391"/>
      <c r="L98" s="487"/>
      <c r="M98" s="391">
        <f t="shared" ref="M98:M137" si="10">L98+E98</f>
        <v>1300000</v>
      </c>
      <c r="N98" s="391"/>
      <c r="O98" s="391"/>
      <c r="P98" s="391"/>
      <c r="Q98" s="391"/>
      <c r="R98" s="409">
        <v>1632811.28</v>
      </c>
      <c r="S98" s="409">
        <f t="shared" si="7"/>
        <v>332811.28000000003</v>
      </c>
      <c r="T98" s="567">
        <v>98</v>
      </c>
    </row>
    <row r="99" spans="2:20" s="427" customFormat="1" ht="20.100000000000001" customHeight="1">
      <c r="B99" s="332">
        <v>70122</v>
      </c>
      <c r="C99" s="144" t="s">
        <v>372</v>
      </c>
      <c r="D99" s="391" t="s">
        <v>373</v>
      </c>
      <c r="E99" s="391">
        <f t="shared" si="9"/>
        <v>1300000</v>
      </c>
      <c r="F99" s="391"/>
      <c r="G99" s="391">
        <v>1300000</v>
      </c>
      <c r="H99" s="391"/>
      <c r="I99" s="391"/>
      <c r="J99" s="391"/>
      <c r="K99" s="391"/>
      <c r="L99" s="487"/>
      <c r="M99" s="391">
        <f t="shared" si="10"/>
        <v>1300000</v>
      </c>
      <c r="N99" s="391"/>
      <c r="O99" s="391"/>
      <c r="P99" s="391"/>
      <c r="Q99" s="391"/>
      <c r="R99" s="409">
        <v>13551267.630000001</v>
      </c>
      <c r="S99" s="409">
        <f t="shared" si="7"/>
        <v>12251267.630000001</v>
      </c>
      <c r="T99" s="567">
        <v>99</v>
      </c>
    </row>
    <row r="100" spans="2:20" s="427" customFormat="1" ht="20.100000000000001" customHeight="1">
      <c r="B100" s="332">
        <v>70122</v>
      </c>
      <c r="C100" s="144" t="s">
        <v>1216</v>
      </c>
      <c r="D100" s="391" t="s">
        <v>1217</v>
      </c>
      <c r="E100" s="391">
        <f t="shared" si="9"/>
        <v>0</v>
      </c>
      <c r="F100" s="391"/>
      <c r="G100" s="391"/>
      <c r="H100" s="391"/>
      <c r="I100" s="391"/>
      <c r="J100" s="391"/>
      <c r="K100" s="391"/>
      <c r="L100" s="487"/>
      <c r="M100" s="391">
        <f t="shared" si="10"/>
        <v>0</v>
      </c>
      <c r="N100" s="391"/>
      <c r="O100" s="391"/>
      <c r="P100" s="391"/>
      <c r="Q100" s="391"/>
      <c r="R100" s="409"/>
      <c r="S100" s="409">
        <f t="shared" si="7"/>
        <v>0</v>
      </c>
      <c r="T100" s="567">
        <v>100</v>
      </c>
    </row>
    <row r="101" spans="2:20" s="427" customFormat="1" ht="22.5" customHeight="1">
      <c r="B101" s="332">
        <v>70122</v>
      </c>
      <c r="C101" s="144" t="s">
        <v>1218</v>
      </c>
      <c r="D101" s="391" t="s">
        <v>1219</v>
      </c>
      <c r="E101" s="391">
        <f t="shared" si="9"/>
        <v>0</v>
      </c>
      <c r="F101" s="391"/>
      <c r="G101" s="391"/>
      <c r="H101" s="391"/>
      <c r="I101" s="391"/>
      <c r="J101" s="391"/>
      <c r="K101" s="391"/>
      <c r="L101" s="487"/>
      <c r="M101" s="391">
        <f t="shared" si="10"/>
        <v>0</v>
      </c>
      <c r="N101" s="391"/>
      <c r="O101" s="391"/>
      <c r="P101" s="391"/>
      <c r="Q101" s="391"/>
      <c r="R101" s="409"/>
      <c r="S101" s="409">
        <f t="shared" si="7"/>
        <v>0</v>
      </c>
      <c r="T101" s="567">
        <v>101</v>
      </c>
    </row>
    <row r="102" spans="2:20" s="427" customFormat="1" ht="20.100000000000001" customHeight="1">
      <c r="B102" s="332">
        <v>70122</v>
      </c>
      <c r="C102" s="144" t="s">
        <v>375</v>
      </c>
      <c r="D102" s="391" t="s">
        <v>376</v>
      </c>
      <c r="E102" s="391">
        <f t="shared" si="9"/>
        <v>1137500</v>
      </c>
      <c r="F102" s="391"/>
      <c r="G102" s="391">
        <v>1137500</v>
      </c>
      <c r="H102" s="391"/>
      <c r="I102" s="391"/>
      <c r="J102" s="391"/>
      <c r="K102" s="391"/>
      <c r="L102" s="487"/>
      <c r="M102" s="391">
        <f t="shared" si="10"/>
        <v>1137500</v>
      </c>
      <c r="N102" s="391"/>
      <c r="O102" s="391"/>
      <c r="P102" s="391"/>
      <c r="Q102" s="391"/>
      <c r="R102" s="409">
        <v>2041014.1</v>
      </c>
      <c r="S102" s="409">
        <f t="shared" si="7"/>
        <v>903514.10000000009</v>
      </c>
      <c r="T102" s="567">
        <v>102</v>
      </c>
    </row>
    <row r="103" spans="2:20" s="427" customFormat="1" ht="20.100000000000001" customHeight="1">
      <c r="B103" s="332">
        <v>70122</v>
      </c>
      <c r="C103" s="144" t="s">
        <v>1220</v>
      </c>
      <c r="D103" s="391" t="s">
        <v>1221</v>
      </c>
      <c r="E103" s="391">
        <f t="shared" si="9"/>
        <v>0</v>
      </c>
      <c r="F103" s="391"/>
      <c r="G103" s="391"/>
      <c r="H103" s="391"/>
      <c r="I103" s="391"/>
      <c r="J103" s="391"/>
      <c r="K103" s="391"/>
      <c r="L103" s="487"/>
      <c r="M103" s="391">
        <f t="shared" si="10"/>
        <v>0</v>
      </c>
      <c r="N103" s="391"/>
      <c r="O103" s="391"/>
      <c r="P103" s="391"/>
      <c r="Q103" s="391"/>
      <c r="R103" s="409"/>
      <c r="S103" s="409">
        <f t="shared" si="7"/>
        <v>0</v>
      </c>
      <c r="T103" s="567">
        <v>103</v>
      </c>
    </row>
    <row r="104" spans="2:20" s="427" customFormat="1" ht="20.100000000000001" customHeight="1">
      <c r="B104" s="332">
        <v>70122</v>
      </c>
      <c r="C104" s="144" t="s">
        <v>1222</v>
      </c>
      <c r="D104" s="391" t="s">
        <v>1223</v>
      </c>
      <c r="E104" s="391">
        <f t="shared" si="9"/>
        <v>0</v>
      </c>
      <c r="F104" s="391"/>
      <c r="G104" s="391"/>
      <c r="H104" s="391"/>
      <c r="I104" s="391"/>
      <c r="J104" s="391"/>
      <c r="K104" s="391"/>
      <c r="L104" s="487"/>
      <c r="M104" s="391">
        <f t="shared" si="10"/>
        <v>0</v>
      </c>
      <c r="N104" s="391"/>
      <c r="O104" s="391"/>
      <c r="P104" s="391"/>
      <c r="Q104" s="391"/>
      <c r="R104" s="409"/>
      <c r="S104" s="409">
        <f t="shared" si="7"/>
        <v>0</v>
      </c>
      <c r="T104" s="567">
        <v>104</v>
      </c>
    </row>
    <row r="105" spans="2:20" s="427" customFormat="1" ht="20.100000000000001" customHeight="1">
      <c r="B105" s="332">
        <v>70122</v>
      </c>
      <c r="C105" s="144" t="s">
        <v>132</v>
      </c>
      <c r="D105" s="391" t="s">
        <v>133</v>
      </c>
      <c r="E105" s="391">
        <f t="shared" si="9"/>
        <v>8721244.3200000003</v>
      </c>
      <c r="F105" s="391">
        <v>4821244.32</v>
      </c>
      <c r="G105" s="391">
        <v>3900000</v>
      </c>
      <c r="H105" s="391"/>
      <c r="I105" s="391"/>
      <c r="J105" s="391"/>
      <c r="K105" s="391"/>
      <c r="L105" s="487"/>
      <c r="M105" s="391">
        <f t="shared" si="10"/>
        <v>8721244.3200000003</v>
      </c>
      <c r="N105" s="391">
        <v>0</v>
      </c>
      <c r="O105" s="391"/>
      <c r="P105" s="391"/>
      <c r="Q105" s="391"/>
      <c r="R105" s="409">
        <v>32740072.649999999</v>
      </c>
      <c r="S105" s="409">
        <f t="shared" si="7"/>
        <v>24018828.329999998</v>
      </c>
      <c r="T105" s="567">
        <v>105</v>
      </c>
    </row>
    <row r="106" spans="2:20" s="427" customFormat="1" ht="20.100000000000001" customHeight="1">
      <c r="B106" s="332">
        <v>70122</v>
      </c>
      <c r="C106" s="144" t="s">
        <v>372</v>
      </c>
      <c r="D106" s="391" t="s">
        <v>1224</v>
      </c>
      <c r="E106" s="391">
        <f t="shared" si="9"/>
        <v>0</v>
      </c>
      <c r="F106" s="391"/>
      <c r="G106" s="391"/>
      <c r="H106" s="391"/>
      <c r="I106" s="391"/>
      <c r="J106" s="391"/>
      <c r="K106" s="391"/>
      <c r="L106" s="487"/>
      <c r="M106" s="391">
        <f t="shared" si="10"/>
        <v>0</v>
      </c>
      <c r="N106" s="391"/>
      <c r="O106" s="391"/>
      <c r="P106" s="391"/>
      <c r="Q106" s="391"/>
      <c r="R106" s="409"/>
      <c r="S106" s="409">
        <f t="shared" si="7"/>
        <v>0</v>
      </c>
      <c r="T106" s="567">
        <v>106</v>
      </c>
    </row>
    <row r="107" spans="2:20" s="427" customFormat="1" ht="20.100000000000001" customHeight="1">
      <c r="B107" s="332"/>
      <c r="C107" s="144"/>
      <c r="D107" s="391" t="s">
        <v>1225</v>
      </c>
      <c r="E107" s="409">
        <f t="shared" ref="E107:S107" si="11">SUM(E98:E106)</f>
        <v>12458744.32</v>
      </c>
      <c r="F107" s="409">
        <f t="shared" si="11"/>
        <v>4821244.32</v>
      </c>
      <c r="G107" s="409">
        <f t="shared" si="11"/>
        <v>7637500</v>
      </c>
      <c r="H107" s="409">
        <f t="shared" si="11"/>
        <v>0</v>
      </c>
      <c r="I107" s="409">
        <f t="shared" si="11"/>
        <v>0</v>
      </c>
      <c r="J107" s="409">
        <f t="shared" si="11"/>
        <v>0</v>
      </c>
      <c r="K107" s="409">
        <f t="shared" si="11"/>
        <v>0</v>
      </c>
      <c r="L107" s="409">
        <f t="shared" si="11"/>
        <v>0</v>
      </c>
      <c r="M107" s="409">
        <f t="shared" si="11"/>
        <v>12458744.32</v>
      </c>
      <c r="N107" s="409"/>
      <c r="O107" s="409"/>
      <c r="P107" s="409"/>
      <c r="Q107" s="409"/>
      <c r="R107" s="409">
        <f t="shared" si="11"/>
        <v>49965165.659999996</v>
      </c>
      <c r="S107" s="409">
        <f t="shared" si="11"/>
        <v>37506421.339999996</v>
      </c>
      <c r="T107" s="567">
        <v>107</v>
      </c>
    </row>
    <row r="108" spans="2:20" s="427" customFormat="1" ht="20.100000000000001" customHeight="1">
      <c r="B108" s="332">
        <v>70131</v>
      </c>
      <c r="C108" s="144" t="s">
        <v>387</v>
      </c>
      <c r="D108" s="391" t="s">
        <v>388</v>
      </c>
      <c r="E108" s="391">
        <f t="shared" ref="E108:E125" si="12">F108+G108+H108+I108+J108+K108</f>
        <v>5397939900.0900002</v>
      </c>
      <c r="F108" s="391">
        <v>108000000</v>
      </c>
      <c r="G108" s="391">
        <v>18000000</v>
      </c>
      <c r="H108" s="391"/>
      <c r="I108" s="391"/>
      <c r="J108" s="391"/>
      <c r="K108" s="391">
        <f>5040350114+231589786.09</f>
        <v>5271939900.0900002</v>
      </c>
      <c r="L108" s="487"/>
      <c r="M108" s="391">
        <f t="shared" si="10"/>
        <v>5397939900.0900002</v>
      </c>
      <c r="N108" s="391"/>
      <c r="O108" s="391"/>
      <c r="P108" s="391"/>
      <c r="Q108" s="391"/>
      <c r="R108" s="409">
        <v>418000000</v>
      </c>
      <c r="S108" s="409">
        <f t="shared" si="7"/>
        <v>-4979939900.0900002</v>
      </c>
      <c r="T108" s="567">
        <v>108</v>
      </c>
    </row>
    <row r="109" spans="2:20" s="427" customFormat="1" ht="20.100000000000001" customHeight="1">
      <c r="B109" s="332">
        <v>70131</v>
      </c>
      <c r="C109" s="144" t="s">
        <v>423</v>
      </c>
      <c r="D109" s="391" t="s">
        <v>424</v>
      </c>
      <c r="E109" s="391">
        <f t="shared" si="12"/>
        <v>11050000</v>
      </c>
      <c r="F109" s="391"/>
      <c r="G109" s="391">
        <v>11050000</v>
      </c>
      <c r="H109" s="391"/>
      <c r="I109" s="391"/>
      <c r="J109" s="391"/>
      <c r="K109" s="391"/>
      <c r="L109" s="487"/>
      <c r="M109" s="391">
        <f t="shared" si="10"/>
        <v>11050000</v>
      </c>
      <c r="N109" s="391"/>
      <c r="O109" s="391"/>
      <c r="P109" s="391"/>
      <c r="Q109" s="391"/>
      <c r="R109" s="409">
        <v>25000000</v>
      </c>
      <c r="S109" s="409">
        <f t="shared" si="7"/>
        <v>13950000</v>
      </c>
      <c r="T109" s="567">
        <v>109</v>
      </c>
    </row>
    <row r="110" spans="2:20" s="427" customFormat="1" ht="20.100000000000001" customHeight="1">
      <c r="B110" s="332">
        <v>70131</v>
      </c>
      <c r="C110" s="144" t="s">
        <v>426</v>
      </c>
      <c r="D110" s="391" t="s">
        <v>427</v>
      </c>
      <c r="E110" s="391">
        <f t="shared" si="12"/>
        <v>1320000</v>
      </c>
      <c r="F110" s="391"/>
      <c r="G110" s="391">
        <v>1320000</v>
      </c>
      <c r="H110" s="391"/>
      <c r="I110" s="391"/>
      <c r="J110" s="391"/>
      <c r="K110" s="391"/>
      <c r="L110" s="487"/>
      <c r="M110" s="391">
        <f t="shared" si="10"/>
        <v>1320000</v>
      </c>
      <c r="N110" s="391"/>
      <c r="O110" s="391"/>
      <c r="P110" s="391"/>
      <c r="Q110" s="391"/>
      <c r="R110" s="409">
        <v>1800000</v>
      </c>
      <c r="S110" s="409">
        <f t="shared" si="7"/>
        <v>480000</v>
      </c>
      <c r="T110" s="567">
        <v>110</v>
      </c>
    </row>
    <row r="111" spans="2:20" s="427" customFormat="1" ht="20.100000000000001" customHeight="1">
      <c r="B111" s="332">
        <v>70131</v>
      </c>
      <c r="C111" s="144" t="s">
        <v>144</v>
      </c>
      <c r="D111" s="391" t="s">
        <v>145</v>
      </c>
      <c r="E111" s="391">
        <f t="shared" si="12"/>
        <v>253767345.91</v>
      </c>
      <c r="F111" s="391">
        <v>88564045.909999996</v>
      </c>
      <c r="G111" s="391">
        <v>98766200</v>
      </c>
      <c r="H111" s="391">
        <v>66437100</v>
      </c>
      <c r="I111" s="391"/>
      <c r="J111" s="391"/>
      <c r="K111" s="391"/>
      <c r="L111" s="487"/>
      <c r="M111" s="391">
        <f t="shared" si="10"/>
        <v>253767345.91</v>
      </c>
      <c r="N111" s="391">
        <v>0</v>
      </c>
      <c r="O111" s="391"/>
      <c r="P111" s="391"/>
      <c r="Q111" s="391"/>
      <c r="R111" s="409">
        <v>707340000</v>
      </c>
      <c r="S111" s="409">
        <f t="shared" si="7"/>
        <v>453572654.09000003</v>
      </c>
      <c r="T111" s="567">
        <v>111</v>
      </c>
    </row>
    <row r="112" spans="2:20" s="427" customFormat="1" ht="20.100000000000001" customHeight="1">
      <c r="B112" s="332">
        <v>70131</v>
      </c>
      <c r="C112" s="144" t="s">
        <v>418</v>
      </c>
      <c r="D112" s="391" t="s">
        <v>429</v>
      </c>
      <c r="E112" s="391">
        <f t="shared" si="12"/>
        <v>2100000</v>
      </c>
      <c r="F112" s="391"/>
      <c r="G112" s="391">
        <v>2100000</v>
      </c>
      <c r="H112" s="391"/>
      <c r="I112" s="391"/>
      <c r="J112" s="391"/>
      <c r="K112" s="391"/>
      <c r="L112" s="487"/>
      <c r="M112" s="391">
        <f t="shared" si="10"/>
        <v>2100000</v>
      </c>
      <c r="N112" s="391"/>
      <c r="O112" s="391"/>
      <c r="P112" s="391"/>
      <c r="Q112" s="391"/>
      <c r="R112" s="409">
        <v>3000000</v>
      </c>
      <c r="S112" s="409">
        <f t="shared" si="7"/>
        <v>900000</v>
      </c>
      <c r="T112" s="567">
        <v>112</v>
      </c>
    </row>
    <row r="113" spans="2:20" s="427" customFormat="1" ht="20.100000000000001" customHeight="1">
      <c r="B113" s="332">
        <v>70131</v>
      </c>
      <c r="C113" s="144" t="s">
        <v>431</v>
      </c>
      <c r="D113" s="391" t="s">
        <v>432</v>
      </c>
      <c r="E113" s="391">
        <f t="shared" si="12"/>
        <v>960000</v>
      </c>
      <c r="F113" s="391"/>
      <c r="G113" s="391">
        <v>960000</v>
      </c>
      <c r="H113" s="391"/>
      <c r="I113" s="391"/>
      <c r="J113" s="391"/>
      <c r="K113" s="391"/>
      <c r="L113" s="487"/>
      <c r="M113" s="391">
        <f t="shared" si="10"/>
        <v>960000</v>
      </c>
      <c r="N113" s="391"/>
      <c r="O113" s="391"/>
      <c r="P113" s="391"/>
      <c r="Q113" s="391"/>
      <c r="R113" s="409">
        <v>2500000</v>
      </c>
      <c r="S113" s="409">
        <f t="shared" si="7"/>
        <v>1540000</v>
      </c>
      <c r="T113" s="567">
        <v>113</v>
      </c>
    </row>
    <row r="114" spans="2:20" s="427" customFormat="1" ht="20.100000000000001" customHeight="1">
      <c r="B114" s="332">
        <v>70131</v>
      </c>
      <c r="C114" s="144" t="s">
        <v>434</v>
      </c>
      <c r="D114" s="391" t="s">
        <v>435</v>
      </c>
      <c r="E114" s="391">
        <f t="shared" si="12"/>
        <v>1100000</v>
      </c>
      <c r="F114" s="391"/>
      <c r="G114" s="391">
        <v>1100000</v>
      </c>
      <c r="H114" s="391"/>
      <c r="I114" s="391"/>
      <c r="J114" s="391"/>
      <c r="K114" s="391"/>
      <c r="L114" s="487"/>
      <c r="M114" s="391">
        <f t="shared" si="10"/>
        <v>1100000</v>
      </c>
      <c r="N114" s="391"/>
      <c r="O114" s="391"/>
      <c r="P114" s="391"/>
      <c r="Q114" s="391"/>
      <c r="R114" s="409">
        <v>2500000</v>
      </c>
      <c r="S114" s="409">
        <f t="shared" si="7"/>
        <v>1400000</v>
      </c>
      <c r="T114" s="567">
        <v>114</v>
      </c>
    </row>
    <row r="115" spans="2:20" s="427" customFormat="1" ht="20.100000000000001" customHeight="1">
      <c r="B115" s="332">
        <v>70131</v>
      </c>
      <c r="C115" s="144" t="s">
        <v>437</v>
      </c>
      <c r="D115" s="391" t="s">
        <v>438</v>
      </c>
      <c r="E115" s="391">
        <f t="shared" si="12"/>
        <v>1100000</v>
      </c>
      <c r="F115" s="391"/>
      <c r="G115" s="391">
        <v>1100000</v>
      </c>
      <c r="H115" s="391"/>
      <c r="I115" s="391"/>
      <c r="J115" s="391"/>
      <c r="K115" s="391"/>
      <c r="L115" s="487"/>
      <c r="M115" s="391">
        <f t="shared" si="10"/>
        <v>1100000</v>
      </c>
      <c r="N115" s="391"/>
      <c r="O115" s="391"/>
      <c r="P115" s="391"/>
      <c r="Q115" s="391"/>
      <c r="R115" s="409">
        <v>3500000</v>
      </c>
      <c r="S115" s="409">
        <f t="shared" si="7"/>
        <v>2400000</v>
      </c>
      <c r="T115" s="567">
        <v>115</v>
      </c>
    </row>
    <row r="116" spans="2:20" s="427" customFormat="1" ht="20.100000000000001" customHeight="1">
      <c r="B116" s="332">
        <v>70131</v>
      </c>
      <c r="C116" s="144" t="s">
        <v>440</v>
      </c>
      <c r="D116" s="391" t="s">
        <v>441</v>
      </c>
      <c r="E116" s="391">
        <f t="shared" si="12"/>
        <v>1100000</v>
      </c>
      <c r="F116" s="391"/>
      <c r="G116" s="391">
        <v>1100000</v>
      </c>
      <c r="H116" s="391"/>
      <c r="I116" s="391"/>
      <c r="J116" s="391"/>
      <c r="K116" s="391"/>
      <c r="L116" s="487"/>
      <c r="M116" s="391">
        <f t="shared" si="10"/>
        <v>1100000</v>
      </c>
      <c r="N116" s="391"/>
      <c r="O116" s="391"/>
      <c r="P116" s="391"/>
      <c r="Q116" s="391"/>
      <c r="R116" s="409">
        <v>6000000</v>
      </c>
      <c r="S116" s="409">
        <f t="shared" si="7"/>
        <v>4900000</v>
      </c>
      <c r="T116" s="567">
        <v>116</v>
      </c>
    </row>
    <row r="117" spans="2:20" s="427" customFormat="1" ht="20.100000000000001" customHeight="1">
      <c r="B117" s="332">
        <v>70131</v>
      </c>
      <c r="C117" s="144" t="s">
        <v>443</v>
      </c>
      <c r="D117" s="391" t="s">
        <v>444</v>
      </c>
      <c r="E117" s="391">
        <f t="shared" si="12"/>
        <v>562673.34</v>
      </c>
      <c r="F117" s="391"/>
      <c r="G117" s="391">
        <v>562673.34</v>
      </c>
      <c r="H117" s="391"/>
      <c r="I117" s="391"/>
      <c r="J117" s="391"/>
      <c r="K117" s="391"/>
      <c r="L117" s="487"/>
      <c r="M117" s="391">
        <f t="shared" si="10"/>
        <v>562673.34</v>
      </c>
      <c r="N117" s="391"/>
      <c r="O117" s="391"/>
      <c r="P117" s="391"/>
      <c r="Q117" s="391"/>
      <c r="R117" s="409">
        <v>1700000</v>
      </c>
      <c r="S117" s="409">
        <f t="shared" si="7"/>
        <v>1137326.6600000001</v>
      </c>
      <c r="T117" s="567">
        <v>117</v>
      </c>
    </row>
    <row r="118" spans="2:20" s="427" customFormat="1" ht="20.100000000000001" customHeight="1">
      <c r="B118" s="332">
        <v>70131</v>
      </c>
      <c r="C118" s="144" t="s">
        <v>1504</v>
      </c>
      <c r="D118" s="391" t="s">
        <v>2015</v>
      </c>
      <c r="E118" s="391">
        <f t="shared" si="12"/>
        <v>3000000</v>
      </c>
      <c r="F118" s="391"/>
      <c r="G118" s="391">
        <v>3000000</v>
      </c>
      <c r="H118" s="391"/>
      <c r="I118" s="391"/>
      <c r="J118" s="391"/>
      <c r="K118" s="391"/>
      <c r="L118" s="487"/>
      <c r="M118" s="391">
        <f t="shared" si="10"/>
        <v>3000000</v>
      </c>
      <c r="N118" s="391"/>
      <c r="O118" s="391"/>
      <c r="P118" s="391"/>
      <c r="Q118" s="391"/>
      <c r="R118" s="409">
        <v>5000000</v>
      </c>
      <c r="S118" s="409">
        <f t="shared" si="7"/>
        <v>2000000</v>
      </c>
      <c r="T118" s="567">
        <v>118</v>
      </c>
    </row>
    <row r="119" spans="2:20" s="427" customFormat="1" ht="20.100000000000001" customHeight="1">
      <c r="B119" s="332">
        <v>70131</v>
      </c>
      <c r="C119" s="144" t="s">
        <v>446</v>
      </c>
      <c r="D119" s="391" t="s">
        <v>447</v>
      </c>
      <c r="E119" s="391">
        <f t="shared" si="12"/>
        <v>2470000</v>
      </c>
      <c r="F119" s="391"/>
      <c r="G119" s="391">
        <v>2470000</v>
      </c>
      <c r="H119" s="391"/>
      <c r="I119" s="391"/>
      <c r="J119" s="391"/>
      <c r="K119" s="391"/>
      <c r="L119" s="487"/>
      <c r="M119" s="391">
        <f t="shared" si="10"/>
        <v>2470000</v>
      </c>
      <c r="N119" s="391"/>
      <c r="O119" s="391"/>
      <c r="P119" s="391"/>
      <c r="Q119" s="391"/>
      <c r="R119" s="409">
        <v>3061521.15</v>
      </c>
      <c r="S119" s="409">
        <f t="shared" si="7"/>
        <v>591521.14999999991</v>
      </c>
      <c r="T119" s="567">
        <v>119</v>
      </c>
    </row>
    <row r="120" spans="2:20" s="427" customFormat="1" ht="20.100000000000001" customHeight="1">
      <c r="B120" s="332">
        <v>70131</v>
      </c>
      <c r="C120" s="144" t="s">
        <v>152</v>
      </c>
      <c r="D120" s="391" t="s">
        <v>153</v>
      </c>
      <c r="E120" s="391">
        <f t="shared" si="12"/>
        <v>67547412.450000003</v>
      </c>
      <c r="F120" s="391">
        <v>44847412.450000003</v>
      </c>
      <c r="G120" s="391">
        <v>17600000</v>
      </c>
      <c r="H120" s="391">
        <v>5100000</v>
      </c>
      <c r="I120" s="391"/>
      <c r="J120" s="391"/>
      <c r="K120" s="391"/>
      <c r="L120" s="487"/>
      <c r="M120" s="391">
        <f t="shared" si="10"/>
        <v>67547412.450000003</v>
      </c>
      <c r="N120" s="391">
        <v>0</v>
      </c>
      <c r="O120" s="391"/>
      <c r="P120" s="391"/>
      <c r="Q120" s="391"/>
      <c r="R120" s="409">
        <v>98971836.950000003</v>
      </c>
      <c r="S120" s="409">
        <f t="shared" si="7"/>
        <v>31424424.5</v>
      </c>
      <c r="T120" s="567">
        <v>120</v>
      </c>
    </row>
    <row r="121" spans="2:20" s="427" customFormat="1" ht="20.100000000000001" customHeight="1">
      <c r="B121" s="332">
        <v>70131</v>
      </c>
      <c r="C121" s="144" t="s">
        <v>451</v>
      </c>
      <c r="D121" s="391" t="s">
        <v>452</v>
      </c>
      <c r="E121" s="391">
        <f t="shared" si="12"/>
        <v>1680000</v>
      </c>
      <c r="F121" s="391"/>
      <c r="G121" s="391">
        <v>1680000</v>
      </c>
      <c r="H121" s="391"/>
      <c r="I121" s="391"/>
      <c r="J121" s="391"/>
      <c r="K121" s="391"/>
      <c r="L121" s="487"/>
      <c r="M121" s="391">
        <f t="shared" si="10"/>
        <v>1680000</v>
      </c>
      <c r="N121" s="391"/>
      <c r="O121" s="391"/>
      <c r="P121" s="391"/>
      <c r="Q121" s="391"/>
      <c r="R121" s="409">
        <v>2551267.63</v>
      </c>
      <c r="S121" s="409">
        <f t="shared" si="7"/>
        <v>871267.62999999989</v>
      </c>
      <c r="T121" s="567">
        <v>121</v>
      </c>
    </row>
    <row r="122" spans="2:20" s="427" customFormat="1" ht="20.100000000000001" customHeight="1">
      <c r="B122" s="332">
        <v>70131</v>
      </c>
      <c r="C122" s="144" t="s">
        <v>155</v>
      </c>
      <c r="D122" s="391" t="s">
        <v>156</v>
      </c>
      <c r="E122" s="391">
        <f t="shared" si="12"/>
        <v>1248845.7</v>
      </c>
      <c r="F122" s="391">
        <v>1248845.7</v>
      </c>
      <c r="G122" s="391"/>
      <c r="H122" s="391"/>
      <c r="I122" s="391"/>
      <c r="J122" s="391"/>
      <c r="K122" s="391"/>
      <c r="L122" s="487"/>
      <c r="M122" s="391">
        <f t="shared" si="10"/>
        <v>1248845.7</v>
      </c>
      <c r="N122" s="391">
        <v>0</v>
      </c>
      <c r="O122" s="391"/>
      <c r="P122" s="391"/>
      <c r="Q122" s="391"/>
      <c r="R122" s="409">
        <v>1215152.04</v>
      </c>
      <c r="S122" s="409">
        <f t="shared" si="7"/>
        <v>-33693.659999999916</v>
      </c>
      <c r="T122" s="567">
        <v>122</v>
      </c>
    </row>
    <row r="123" spans="2:20" s="427" customFormat="1" ht="20.100000000000001" customHeight="1">
      <c r="B123" s="332">
        <v>70131</v>
      </c>
      <c r="C123" s="144" t="s">
        <v>199</v>
      </c>
      <c r="D123" s="391" t="s">
        <v>461</v>
      </c>
      <c r="E123" s="391">
        <f t="shared" si="12"/>
        <v>550000</v>
      </c>
      <c r="F123" s="391"/>
      <c r="G123" s="391">
        <v>550000</v>
      </c>
      <c r="H123" s="391"/>
      <c r="I123" s="391"/>
      <c r="J123" s="391"/>
      <c r="K123" s="391"/>
      <c r="L123" s="487"/>
      <c r="M123" s="391">
        <f t="shared" si="10"/>
        <v>550000</v>
      </c>
      <c r="N123" s="391"/>
      <c r="O123" s="391"/>
      <c r="P123" s="391"/>
      <c r="Q123" s="391"/>
      <c r="R123" s="409">
        <v>2000000</v>
      </c>
      <c r="S123" s="409">
        <f t="shared" si="7"/>
        <v>1450000</v>
      </c>
      <c r="T123" s="567">
        <v>123</v>
      </c>
    </row>
    <row r="124" spans="2:20" s="427" customFormat="1" ht="20.100000000000001" customHeight="1">
      <c r="B124" s="332">
        <v>70131</v>
      </c>
      <c r="C124" s="144" t="s">
        <v>457</v>
      </c>
      <c r="D124" s="391" t="s">
        <v>1318</v>
      </c>
      <c r="E124" s="391">
        <f t="shared" si="12"/>
        <v>3110000</v>
      </c>
      <c r="F124" s="391"/>
      <c r="G124" s="391">
        <v>3110000</v>
      </c>
      <c r="H124" s="391"/>
      <c r="I124" s="391"/>
      <c r="J124" s="391"/>
      <c r="K124" s="391">
        <v>0</v>
      </c>
      <c r="L124" s="487"/>
      <c r="M124" s="391">
        <f t="shared" si="10"/>
        <v>3110000</v>
      </c>
      <c r="N124" s="391"/>
      <c r="O124" s="391"/>
      <c r="P124" s="391"/>
      <c r="Q124" s="391"/>
      <c r="R124" s="409">
        <v>6201048060.0900002</v>
      </c>
      <c r="S124" s="409">
        <f t="shared" si="7"/>
        <v>6197938060.0900002</v>
      </c>
      <c r="T124" s="567">
        <v>124</v>
      </c>
    </row>
    <row r="125" spans="2:20" s="427" customFormat="1" ht="20.100000000000001" customHeight="1">
      <c r="B125" s="332">
        <v>70131</v>
      </c>
      <c r="C125" s="144" t="s">
        <v>669</v>
      </c>
      <c r="D125" s="391" t="s">
        <v>670</v>
      </c>
      <c r="E125" s="391">
        <f t="shared" si="12"/>
        <v>70624658</v>
      </c>
      <c r="F125" s="391"/>
      <c r="G125" s="391"/>
      <c r="H125" s="391"/>
      <c r="I125" s="391">
        <v>70624658</v>
      </c>
      <c r="J125" s="391"/>
      <c r="K125" s="391"/>
      <c r="L125" s="487"/>
      <c r="M125" s="391">
        <f t="shared" si="10"/>
        <v>70624658</v>
      </c>
      <c r="N125" s="391"/>
      <c r="O125" s="391"/>
      <c r="P125" s="391"/>
      <c r="Q125" s="391"/>
      <c r="R125" s="409">
        <v>310937887.82999998</v>
      </c>
      <c r="S125" s="409">
        <f t="shared" si="7"/>
        <v>240313229.82999998</v>
      </c>
      <c r="T125" s="567">
        <v>125</v>
      </c>
    </row>
    <row r="126" spans="2:20" s="419" customFormat="1" ht="20.100000000000001" customHeight="1">
      <c r="B126" s="320"/>
      <c r="C126" s="311"/>
      <c r="D126" s="528" t="s">
        <v>1226</v>
      </c>
      <c r="E126" s="571">
        <f>SUM(E108:E125)</f>
        <v>5821230835.4899998</v>
      </c>
      <c r="F126" s="571">
        <f t="shared" ref="F126:S126" si="13">SUM(F108:F125)</f>
        <v>242660304.06</v>
      </c>
      <c r="G126" s="571">
        <f t="shared" si="13"/>
        <v>164468873.34</v>
      </c>
      <c r="H126" s="571">
        <f t="shared" si="13"/>
        <v>71537100</v>
      </c>
      <c r="I126" s="571">
        <f t="shared" si="13"/>
        <v>70624658</v>
      </c>
      <c r="J126" s="571">
        <f t="shared" si="13"/>
        <v>0</v>
      </c>
      <c r="K126" s="571">
        <f t="shared" si="13"/>
        <v>5271939900.0900002</v>
      </c>
      <c r="L126" s="571">
        <f t="shared" si="13"/>
        <v>0</v>
      </c>
      <c r="M126" s="571">
        <f t="shared" si="13"/>
        <v>5821230835.4899998</v>
      </c>
      <c r="N126" s="571"/>
      <c r="O126" s="571"/>
      <c r="P126" s="571"/>
      <c r="Q126" s="571"/>
      <c r="R126" s="571">
        <f t="shared" si="13"/>
        <v>7796125725.6900005</v>
      </c>
      <c r="S126" s="571">
        <f t="shared" si="13"/>
        <v>1974894890.1999998</v>
      </c>
      <c r="T126" s="567">
        <v>126</v>
      </c>
    </row>
    <row r="127" spans="2:20" s="427" customFormat="1" ht="20.100000000000001" customHeight="1">
      <c r="B127" s="332">
        <v>70132</v>
      </c>
      <c r="C127" s="144" t="s">
        <v>219</v>
      </c>
      <c r="D127" s="391" t="s">
        <v>220</v>
      </c>
      <c r="E127" s="391">
        <f>F127+G127+H127+I127+J127+K127</f>
        <v>26923206.039999999</v>
      </c>
      <c r="F127" s="391">
        <v>25383206.039999999</v>
      </c>
      <c r="G127" s="391">
        <v>1540000</v>
      </c>
      <c r="H127" s="391"/>
      <c r="I127" s="391"/>
      <c r="J127" s="391"/>
      <c r="K127" s="391"/>
      <c r="L127" s="487"/>
      <c r="M127" s="391">
        <f t="shared" si="10"/>
        <v>26923206.039999999</v>
      </c>
      <c r="N127" s="391">
        <v>0</v>
      </c>
      <c r="O127" s="391"/>
      <c r="P127" s="391"/>
      <c r="Q127" s="391"/>
      <c r="R127" s="409">
        <v>101590538.64</v>
      </c>
      <c r="S127" s="409">
        <f t="shared" si="7"/>
        <v>74667332.599999994</v>
      </c>
      <c r="T127" s="567">
        <v>127</v>
      </c>
    </row>
    <row r="128" spans="2:20" s="427" customFormat="1" ht="20.100000000000001" customHeight="1">
      <c r="B128" s="332">
        <v>70132</v>
      </c>
      <c r="C128" s="144" t="s">
        <v>568</v>
      </c>
      <c r="D128" s="391" t="s">
        <v>801</v>
      </c>
      <c r="E128" s="391">
        <f>F128+G128+H128+I128+J128+K128</f>
        <v>966500</v>
      </c>
      <c r="F128" s="391"/>
      <c r="G128" s="391">
        <v>966500</v>
      </c>
      <c r="H128" s="391"/>
      <c r="I128" s="391"/>
      <c r="J128" s="391"/>
      <c r="K128" s="391"/>
      <c r="L128" s="487"/>
      <c r="M128" s="391">
        <f t="shared" si="10"/>
        <v>966500</v>
      </c>
      <c r="N128" s="391"/>
      <c r="O128" s="391"/>
      <c r="P128" s="391"/>
      <c r="Q128" s="391"/>
      <c r="R128" s="409">
        <v>1201700845.0899999</v>
      </c>
      <c r="S128" s="409">
        <f t="shared" si="7"/>
        <v>1200734345.0899999</v>
      </c>
      <c r="T128" s="567">
        <v>128</v>
      </c>
    </row>
    <row r="129" spans="2:20" s="427" customFormat="1" ht="20.100000000000001" customHeight="1">
      <c r="B129" s="332">
        <v>70132</v>
      </c>
      <c r="C129" s="144" t="s">
        <v>571</v>
      </c>
      <c r="D129" s="391" t="s">
        <v>1319</v>
      </c>
      <c r="E129" s="391">
        <f>F129+G129+H129+I129+J129+K129</f>
        <v>2340000</v>
      </c>
      <c r="F129" s="391"/>
      <c r="G129" s="391">
        <v>2340000</v>
      </c>
      <c r="H129" s="391"/>
      <c r="I129" s="391"/>
      <c r="J129" s="391"/>
      <c r="K129" s="391"/>
      <c r="L129" s="487"/>
      <c r="M129" s="391">
        <f t="shared" si="10"/>
        <v>2340000</v>
      </c>
      <c r="N129" s="391"/>
      <c r="O129" s="391"/>
      <c r="P129" s="391"/>
      <c r="Q129" s="391"/>
      <c r="R129" s="409">
        <v>2551267.63</v>
      </c>
      <c r="S129" s="409">
        <f t="shared" si="7"/>
        <v>211267.62999999989</v>
      </c>
      <c r="T129" s="567">
        <v>129</v>
      </c>
    </row>
    <row r="130" spans="2:20" s="427" customFormat="1" ht="20.100000000000001" customHeight="1">
      <c r="B130" s="332">
        <v>70132</v>
      </c>
      <c r="C130" s="144" t="s">
        <v>574</v>
      </c>
      <c r="D130" s="391" t="s">
        <v>575</v>
      </c>
      <c r="E130" s="391">
        <f>F130+G130+H130+I130+J130+K130</f>
        <v>640000</v>
      </c>
      <c r="F130" s="391"/>
      <c r="G130" s="391">
        <v>640000</v>
      </c>
      <c r="H130" s="391"/>
      <c r="I130" s="391"/>
      <c r="J130" s="391"/>
      <c r="K130" s="391"/>
      <c r="L130" s="487"/>
      <c r="M130" s="391">
        <f t="shared" si="10"/>
        <v>640000</v>
      </c>
      <c r="N130" s="391"/>
      <c r="O130" s="391"/>
      <c r="P130" s="391"/>
      <c r="Q130" s="391"/>
      <c r="R130" s="409">
        <v>1020507.05</v>
      </c>
      <c r="S130" s="409">
        <f t="shared" si="7"/>
        <v>380507.05000000005</v>
      </c>
      <c r="T130" s="567">
        <v>130</v>
      </c>
    </row>
    <row r="131" spans="2:20" s="427" customFormat="1" ht="20.100000000000001" customHeight="1">
      <c r="B131" s="332">
        <v>70132</v>
      </c>
      <c r="C131" s="144" t="s">
        <v>1227</v>
      </c>
      <c r="D131" s="391" t="s">
        <v>1228</v>
      </c>
      <c r="E131" s="391">
        <f>F131+G131+H131+I131+J131+K131</f>
        <v>0</v>
      </c>
      <c r="F131" s="391"/>
      <c r="G131" s="391"/>
      <c r="H131" s="391"/>
      <c r="I131" s="391"/>
      <c r="J131" s="391"/>
      <c r="K131" s="391"/>
      <c r="L131" s="487"/>
      <c r="M131" s="391">
        <f t="shared" si="10"/>
        <v>0</v>
      </c>
      <c r="N131" s="391"/>
      <c r="O131" s="391"/>
      <c r="P131" s="391"/>
      <c r="Q131" s="391"/>
      <c r="R131" s="409"/>
      <c r="S131" s="409">
        <f t="shared" si="7"/>
        <v>0</v>
      </c>
      <c r="T131" s="567">
        <v>131</v>
      </c>
    </row>
    <row r="132" spans="2:20" s="427" customFormat="1" ht="20.100000000000001" customHeight="1">
      <c r="B132" s="320"/>
      <c r="C132" s="311"/>
      <c r="D132" s="528" t="s">
        <v>1229</v>
      </c>
      <c r="E132" s="571">
        <f t="shared" ref="E132:S132" si="14">SUM(E127:E131)</f>
        <v>30869706.039999999</v>
      </c>
      <c r="F132" s="571">
        <f t="shared" si="14"/>
        <v>25383206.039999999</v>
      </c>
      <c r="G132" s="571">
        <f t="shared" si="14"/>
        <v>5486500</v>
      </c>
      <c r="H132" s="571">
        <f t="shared" si="14"/>
        <v>0</v>
      </c>
      <c r="I132" s="571">
        <f t="shared" si="14"/>
        <v>0</v>
      </c>
      <c r="J132" s="571">
        <f t="shared" si="14"/>
        <v>0</v>
      </c>
      <c r="K132" s="571">
        <f t="shared" si="14"/>
        <v>0</v>
      </c>
      <c r="L132" s="571">
        <f t="shared" si="14"/>
        <v>0</v>
      </c>
      <c r="M132" s="571">
        <f t="shared" si="14"/>
        <v>30869706.039999999</v>
      </c>
      <c r="N132" s="571"/>
      <c r="O132" s="571"/>
      <c r="P132" s="571"/>
      <c r="Q132" s="571"/>
      <c r="R132" s="571">
        <f t="shared" si="14"/>
        <v>1306863158.4100001</v>
      </c>
      <c r="S132" s="571">
        <f t="shared" si="14"/>
        <v>1275993452.3699999</v>
      </c>
      <c r="T132" s="567">
        <v>132</v>
      </c>
    </row>
    <row r="133" spans="2:20" s="427" customFormat="1" ht="20.100000000000001" customHeight="1">
      <c r="B133" s="332">
        <v>70133</v>
      </c>
      <c r="C133" s="144" t="s">
        <v>111</v>
      </c>
      <c r="D133" s="391" t="s">
        <v>112</v>
      </c>
      <c r="E133" s="391">
        <f>F133+G133+H133+I133+J133+K133</f>
        <v>14308856.309999999</v>
      </c>
      <c r="F133" s="391">
        <v>8148856.3099999996</v>
      </c>
      <c r="G133" s="391">
        <v>6160000</v>
      </c>
      <c r="H133" s="391"/>
      <c r="I133" s="391"/>
      <c r="J133" s="391"/>
      <c r="K133" s="391"/>
      <c r="L133" s="487"/>
      <c r="M133" s="391">
        <f t="shared" si="10"/>
        <v>14308856.309999999</v>
      </c>
      <c r="N133" s="391"/>
      <c r="O133" s="391"/>
      <c r="P133" s="391"/>
      <c r="Q133" s="391"/>
      <c r="R133" s="409">
        <v>25648087.02</v>
      </c>
      <c r="S133" s="409">
        <f t="shared" si="7"/>
        <v>11339230.710000001</v>
      </c>
      <c r="T133" s="567">
        <v>133</v>
      </c>
    </row>
    <row r="134" spans="2:20" s="427" customFormat="1" ht="20.100000000000001" customHeight="1">
      <c r="B134" s="332">
        <v>70133</v>
      </c>
      <c r="C134" s="144" t="s">
        <v>114</v>
      </c>
      <c r="D134" s="391" t="s">
        <v>115</v>
      </c>
      <c r="E134" s="391">
        <f>F134+G134+H134+I134+J134+K134</f>
        <v>26478906.539999999</v>
      </c>
      <c r="F134" s="391">
        <v>10952146.539999999</v>
      </c>
      <c r="G134" s="391">
        <v>15526760</v>
      </c>
      <c r="H134" s="391"/>
      <c r="I134" s="391"/>
      <c r="J134" s="391"/>
      <c r="K134" s="391"/>
      <c r="L134" s="487"/>
      <c r="M134" s="391">
        <f t="shared" si="10"/>
        <v>26478906.539999999</v>
      </c>
      <c r="N134" s="391"/>
      <c r="O134" s="391"/>
      <c r="P134" s="391"/>
      <c r="Q134" s="391"/>
      <c r="R134" s="409">
        <v>83400794.010000005</v>
      </c>
      <c r="S134" s="409">
        <f t="shared" si="7"/>
        <v>56921887.470000006</v>
      </c>
      <c r="T134" s="567">
        <v>134</v>
      </c>
    </row>
    <row r="135" spans="2:20" s="427" customFormat="1" ht="20.100000000000001" customHeight="1">
      <c r="B135" s="332">
        <v>70133</v>
      </c>
      <c r="C135" s="144" t="s">
        <v>381</v>
      </c>
      <c r="D135" s="391" t="s">
        <v>382</v>
      </c>
      <c r="E135" s="391">
        <f>F135+G135+H135+I135+J135+K135</f>
        <v>260000</v>
      </c>
      <c r="F135" s="391"/>
      <c r="G135" s="391">
        <v>260000</v>
      </c>
      <c r="H135" s="391"/>
      <c r="I135" s="391"/>
      <c r="J135" s="391"/>
      <c r="K135" s="391"/>
      <c r="L135" s="487"/>
      <c r="M135" s="391">
        <f t="shared" si="10"/>
        <v>260000</v>
      </c>
      <c r="N135" s="391"/>
      <c r="O135" s="391"/>
      <c r="P135" s="391"/>
      <c r="Q135" s="391"/>
      <c r="R135" s="409">
        <v>3000000</v>
      </c>
      <c r="S135" s="409">
        <f t="shared" si="7"/>
        <v>2740000</v>
      </c>
      <c r="T135" s="567">
        <v>135</v>
      </c>
    </row>
    <row r="136" spans="2:20" s="427" customFormat="1" ht="20.100000000000001" customHeight="1">
      <c r="B136" s="332">
        <v>70133</v>
      </c>
      <c r="C136" s="144" t="s">
        <v>660</v>
      </c>
      <c r="D136" s="391" t="s">
        <v>661</v>
      </c>
      <c r="E136" s="391">
        <f>F136+G136+H136+I136+J136+K136</f>
        <v>7583329</v>
      </c>
      <c r="F136" s="391"/>
      <c r="G136" s="391"/>
      <c r="H136" s="391"/>
      <c r="I136" s="391">
        <v>7583329</v>
      </c>
      <c r="J136" s="391"/>
      <c r="K136" s="391"/>
      <c r="L136" s="487"/>
      <c r="M136" s="391">
        <f t="shared" si="10"/>
        <v>7583329</v>
      </c>
      <c r="N136" s="391"/>
      <c r="O136" s="391"/>
      <c r="P136" s="391"/>
      <c r="Q136" s="391"/>
      <c r="R136" s="409">
        <v>8164056.1100000003</v>
      </c>
      <c r="S136" s="409">
        <f t="shared" si="7"/>
        <v>580727.11000000034</v>
      </c>
      <c r="T136" s="567">
        <v>136</v>
      </c>
    </row>
    <row r="137" spans="2:20" s="427" customFormat="1" ht="20.100000000000001" customHeight="1">
      <c r="B137" s="332">
        <v>70133</v>
      </c>
      <c r="C137" s="144" t="s">
        <v>418</v>
      </c>
      <c r="D137" s="391" t="s">
        <v>664</v>
      </c>
      <c r="E137" s="391">
        <f>F137+G137+H137+I137+J137+K137</f>
        <v>2100000</v>
      </c>
      <c r="F137" s="391"/>
      <c r="G137" s="391"/>
      <c r="H137" s="391"/>
      <c r="I137" s="391">
        <v>2100000</v>
      </c>
      <c r="J137" s="391"/>
      <c r="K137" s="391"/>
      <c r="L137" s="487"/>
      <c r="M137" s="391">
        <f t="shared" si="10"/>
        <v>2100000</v>
      </c>
      <c r="N137" s="391"/>
      <c r="O137" s="391"/>
      <c r="P137" s="391"/>
      <c r="Q137" s="391"/>
      <c r="R137" s="409">
        <v>2700000</v>
      </c>
      <c r="S137" s="409">
        <f t="shared" si="7"/>
        <v>600000</v>
      </c>
      <c r="T137" s="567">
        <v>137</v>
      </c>
    </row>
    <row r="138" spans="2:20" s="427" customFormat="1" ht="20.100000000000001" customHeight="1">
      <c r="B138" s="320"/>
      <c r="C138" s="311"/>
      <c r="D138" s="528" t="s">
        <v>1230</v>
      </c>
      <c r="E138" s="571">
        <f t="shared" ref="E138:S138" si="15">SUM(E133:E137)</f>
        <v>50731091.849999994</v>
      </c>
      <c r="F138" s="571">
        <f t="shared" si="15"/>
        <v>19101002.849999998</v>
      </c>
      <c r="G138" s="571">
        <f t="shared" si="15"/>
        <v>21946760</v>
      </c>
      <c r="H138" s="571">
        <f t="shared" si="15"/>
        <v>0</v>
      </c>
      <c r="I138" s="571">
        <f t="shared" si="15"/>
        <v>9683329</v>
      </c>
      <c r="J138" s="571">
        <f t="shared" si="15"/>
        <v>0</v>
      </c>
      <c r="K138" s="571">
        <f t="shared" si="15"/>
        <v>0</v>
      </c>
      <c r="L138" s="571">
        <f t="shared" si="15"/>
        <v>0</v>
      </c>
      <c r="M138" s="571">
        <f t="shared" si="15"/>
        <v>50731091.849999994</v>
      </c>
      <c r="N138" s="571"/>
      <c r="O138" s="571"/>
      <c r="P138" s="571"/>
      <c r="Q138" s="571"/>
      <c r="R138" s="571">
        <f t="shared" si="15"/>
        <v>122912937.14</v>
      </c>
      <c r="S138" s="571">
        <f t="shared" si="15"/>
        <v>72181845.290000007</v>
      </c>
      <c r="T138" s="567">
        <v>138</v>
      </c>
    </row>
    <row r="139" spans="2:20" s="427" customFormat="1" ht="20.100000000000001" customHeight="1">
      <c r="B139" s="332" t="s">
        <v>1308</v>
      </c>
      <c r="C139" s="144"/>
      <c r="D139" s="391" t="s">
        <v>1231</v>
      </c>
      <c r="E139" s="391">
        <f>F139+G139+H139+I139+J139+K139</f>
        <v>0</v>
      </c>
      <c r="F139" s="391"/>
      <c r="G139" s="391"/>
      <c r="H139" s="391"/>
      <c r="I139" s="391"/>
      <c r="J139" s="391"/>
      <c r="K139" s="391"/>
      <c r="L139" s="487"/>
      <c r="M139" s="391">
        <f t="shared" ref="M139:M204" si="16">L139+E139</f>
        <v>0</v>
      </c>
      <c r="N139" s="391"/>
      <c r="O139" s="391"/>
      <c r="P139" s="391"/>
      <c r="Q139" s="391"/>
      <c r="R139" s="409">
        <v>0</v>
      </c>
      <c r="S139" s="409">
        <f t="shared" ref="S139:S204" si="17">R139-M139</f>
        <v>0</v>
      </c>
      <c r="T139" s="567">
        <v>139</v>
      </c>
    </row>
    <row r="140" spans="2:20" s="427" customFormat="1" ht="20.100000000000001" customHeight="1">
      <c r="B140" s="320">
        <v>0</v>
      </c>
      <c r="C140" s="311"/>
      <c r="D140" s="528" t="s">
        <v>1232</v>
      </c>
      <c r="E140" s="571">
        <f t="shared" ref="E140:S140" si="18">E139</f>
        <v>0</v>
      </c>
      <c r="F140" s="571">
        <f t="shared" si="18"/>
        <v>0</v>
      </c>
      <c r="G140" s="571">
        <f t="shared" si="18"/>
        <v>0</v>
      </c>
      <c r="H140" s="571">
        <f t="shared" si="18"/>
        <v>0</v>
      </c>
      <c r="I140" s="571">
        <f t="shared" si="18"/>
        <v>0</v>
      </c>
      <c r="J140" s="571">
        <f t="shared" si="18"/>
        <v>0</v>
      </c>
      <c r="K140" s="571">
        <f t="shared" si="18"/>
        <v>0</v>
      </c>
      <c r="L140" s="571">
        <f t="shared" si="18"/>
        <v>0</v>
      </c>
      <c r="M140" s="571">
        <f t="shared" si="18"/>
        <v>0</v>
      </c>
      <c r="N140" s="571"/>
      <c r="O140" s="571"/>
      <c r="P140" s="571"/>
      <c r="Q140" s="571"/>
      <c r="R140" s="571">
        <f t="shared" si="18"/>
        <v>0</v>
      </c>
      <c r="S140" s="571">
        <f t="shared" si="18"/>
        <v>0</v>
      </c>
      <c r="T140" s="567">
        <v>140</v>
      </c>
    </row>
    <row r="141" spans="2:20" s="427" customFormat="1" ht="20.100000000000001" customHeight="1">
      <c r="B141" s="332">
        <v>70160</v>
      </c>
      <c r="C141" s="144" t="s">
        <v>158</v>
      </c>
      <c r="D141" s="391" t="s">
        <v>159</v>
      </c>
      <c r="E141" s="391">
        <f>F141+G141+H141+I141+J141+K141</f>
        <v>78226016.280000001</v>
      </c>
      <c r="F141" s="391">
        <v>66226016.280000001</v>
      </c>
      <c r="G141" s="391">
        <v>12000000</v>
      </c>
      <c r="H141" s="391"/>
      <c r="I141" s="391"/>
      <c r="J141" s="391"/>
      <c r="K141" s="391"/>
      <c r="L141" s="487">
        <v>46000000</v>
      </c>
      <c r="M141" s="391">
        <f t="shared" si="16"/>
        <v>124226016.28</v>
      </c>
      <c r="N141" s="391"/>
      <c r="O141" s="391"/>
      <c r="P141" s="391"/>
      <c r="Q141" s="391"/>
      <c r="R141" s="409">
        <v>291162154.5</v>
      </c>
      <c r="S141" s="409">
        <f t="shared" si="17"/>
        <v>166936138.22</v>
      </c>
      <c r="T141" s="567">
        <v>141</v>
      </c>
    </row>
    <row r="142" spans="2:20" s="427" customFormat="1" ht="20.100000000000001" customHeight="1">
      <c r="B142" s="332">
        <v>70160</v>
      </c>
      <c r="C142" s="144" t="s">
        <v>245</v>
      </c>
      <c r="D142" s="391" t="s">
        <v>246</v>
      </c>
      <c r="E142" s="391">
        <f>F142+G142+H142+I142+J142+K142</f>
        <v>555170038.01999998</v>
      </c>
      <c r="F142" s="391">
        <v>183714538.02000001</v>
      </c>
      <c r="G142" s="391">
        <v>5860000</v>
      </c>
      <c r="H142" s="391">
        <v>365595500</v>
      </c>
      <c r="I142" s="391"/>
      <c r="J142" s="391"/>
      <c r="K142" s="391"/>
      <c r="L142" s="487"/>
      <c r="M142" s="391">
        <f t="shared" si="16"/>
        <v>555170038.01999998</v>
      </c>
      <c r="N142" s="391"/>
      <c r="O142" s="391"/>
      <c r="P142" s="391"/>
      <c r="Q142" s="391"/>
      <c r="R142" s="409">
        <v>858604472.25999999</v>
      </c>
      <c r="S142" s="409">
        <f t="shared" si="17"/>
        <v>303434434.24000001</v>
      </c>
      <c r="T142" s="567">
        <v>142</v>
      </c>
    </row>
    <row r="143" spans="2:20" s="427" customFormat="1" ht="20.100000000000001" customHeight="1">
      <c r="B143" s="332">
        <v>70160</v>
      </c>
      <c r="C143" s="144"/>
      <c r="D143" s="528" t="s">
        <v>626</v>
      </c>
      <c r="E143" s="391">
        <f>F143+G143+H143+I143+J143+K143</f>
        <v>0</v>
      </c>
      <c r="F143" s="391"/>
      <c r="G143" s="391"/>
      <c r="H143" s="391"/>
      <c r="I143" s="391"/>
      <c r="J143" s="391"/>
      <c r="K143" s="391"/>
      <c r="L143" s="487"/>
      <c r="M143" s="391">
        <f t="shared" si="16"/>
        <v>0</v>
      </c>
      <c r="N143" s="391"/>
      <c r="O143" s="391"/>
      <c r="P143" s="391"/>
      <c r="Q143" s="391"/>
      <c r="R143" s="409">
        <v>10813765.73</v>
      </c>
      <c r="S143" s="409">
        <f t="shared" si="17"/>
        <v>10813765.73</v>
      </c>
      <c r="T143" s="567">
        <v>143</v>
      </c>
    </row>
    <row r="144" spans="2:20" s="427" customFormat="1" ht="20.100000000000001" customHeight="1">
      <c r="B144" s="332">
        <v>70160</v>
      </c>
      <c r="C144" s="144" t="s">
        <v>627</v>
      </c>
      <c r="D144" s="391" t="s">
        <v>628</v>
      </c>
      <c r="E144" s="391">
        <f>F144+G144+H144+I144+J144+K144</f>
        <v>1650500</v>
      </c>
      <c r="F144" s="391"/>
      <c r="G144" s="391">
        <v>1650500</v>
      </c>
      <c r="H144" s="391"/>
      <c r="I144" s="391"/>
      <c r="J144" s="391"/>
      <c r="K144" s="391"/>
      <c r="L144" s="487"/>
      <c r="M144" s="391">
        <f t="shared" si="16"/>
        <v>1650500</v>
      </c>
      <c r="N144" s="391"/>
      <c r="O144" s="391"/>
      <c r="P144" s="391"/>
      <c r="Q144" s="391"/>
      <c r="R144" s="409">
        <v>42200000</v>
      </c>
      <c r="S144" s="409">
        <f t="shared" si="17"/>
        <v>40549500</v>
      </c>
      <c r="T144" s="567">
        <v>144</v>
      </c>
    </row>
    <row r="145" spans="2:20" s="427" customFormat="1" ht="20.100000000000001" customHeight="1">
      <c r="B145" s="332">
        <v>70160</v>
      </c>
      <c r="C145" s="144" t="s">
        <v>1489</v>
      </c>
      <c r="D145" s="391" t="s">
        <v>1490</v>
      </c>
      <c r="E145" s="391">
        <f>F145+G145+H145+I145+J145+K145</f>
        <v>500000</v>
      </c>
      <c r="F145" s="391"/>
      <c r="G145" s="391">
        <v>500000</v>
      </c>
      <c r="H145" s="391"/>
      <c r="I145" s="391"/>
      <c r="J145" s="391"/>
      <c r="K145" s="391"/>
      <c r="L145" s="487"/>
      <c r="M145" s="391">
        <f t="shared" si="16"/>
        <v>500000</v>
      </c>
      <c r="N145" s="391"/>
      <c r="O145" s="391"/>
      <c r="P145" s="391"/>
      <c r="Q145" s="391"/>
      <c r="R145" s="409">
        <v>2000000</v>
      </c>
      <c r="S145" s="409">
        <f t="shared" si="17"/>
        <v>1500000</v>
      </c>
      <c r="T145" s="567">
        <v>145</v>
      </c>
    </row>
    <row r="146" spans="2:20" s="427" customFormat="1" ht="20.100000000000001" customHeight="1">
      <c r="B146" s="320"/>
      <c r="C146" s="311"/>
      <c r="D146" s="528" t="s">
        <v>1233</v>
      </c>
      <c r="E146" s="571">
        <f>SUM(E141:E145)</f>
        <v>635546554.29999995</v>
      </c>
      <c r="F146" s="571">
        <f t="shared" ref="F146:M146" si="19">SUM(F141:F145)</f>
        <v>249940554.30000001</v>
      </c>
      <c r="G146" s="571">
        <f>SUM(G141:G145)</f>
        <v>20010500</v>
      </c>
      <c r="H146" s="571">
        <f t="shared" si="19"/>
        <v>365595500</v>
      </c>
      <c r="I146" s="571">
        <f t="shared" si="19"/>
        <v>0</v>
      </c>
      <c r="J146" s="571">
        <f t="shared" si="19"/>
        <v>0</v>
      </c>
      <c r="K146" s="571">
        <f t="shared" si="19"/>
        <v>0</v>
      </c>
      <c r="L146" s="571">
        <f t="shared" si="19"/>
        <v>46000000</v>
      </c>
      <c r="M146" s="571">
        <f t="shared" si="19"/>
        <v>681546554.29999995</v>
      </c>
      <c r="N146" s="571"/>
      <c r="O146" s="571"/>
      <c r="P146" s="571"/>
      <c r="Q146" s="571"/>
      <c r="R146" s="571">
        <f>SUM(R141:R145)</f>
        <v>1204780392.49</v>
      </c>
      <c r="S146" s="571">
        <f t="shared" ref="S146" si="20">SUM(S141:S144)</f>
        <v>521733838.19000006</v>
      </c>
      <c r="T146" s="567">
        <v>146</v>
      </c>
    </row>
    <row r="147" spans="2:20" s="427" customFormat="1" ht="20.100000000000001" customHeight="1">
      <c r="B147" s="320"/>
      <c r="C147" s="311"/>
      <c r="D147" s="528" t="s">
        <v>335</v>
      </c>
      <c r="E147" s="571">
        <f t="shared" ref="E147:M147" si="21">E146+E138+E132+E126+E107+E97+E66+E61</f>
        <v>23456484442.539997</v>
      </c>
      <c r="F147" s="571">
        <f t="shared" si="21"/>
        <v>2615253006.96</v>
      </c>
      <c r="G147" s="571">
        <f t="shared" si="21"/>
        <v>2337179139.5500002</v>
      </c>
      <c r="H147" s="571">
        <f t="shared" si="21"/>
        <v>7826492606.1800003</v>
      </c>
      <c r="I147" s="571">
        <f t="shared" si="21"/>
        <v>80307987</v>
      </c>
      <c r="J147" s="571">
        <f t="shared" si="21"/>
        <v>0</v>
      </c>
      <c r="K147" s="571">
        <f t="shared" si="21"/>
        <v>10597251702.849998</v>
      </c>
      <c r="L147" s="571">
        <f t="shared" si="21"/>
        <v>799591168</v>
      </c>
      <c r="M147" s="571">
        <f t="shared" si="21"/>
        <v>24256075610.540001</v>
      </c>
      <c r="N147" s="571"/>
      <c r="O147" s="571"/>
      <c r="P147" s="571"/>
      <c r="Q147" s="571"/>
      <c r="R147" s="571">
        <f>R146+R138+R132+R126+R107+R97+R66+R61</f>
        <v>27384446320.210003</v>
      </c>
      <c r="S147" s="571">
        <f>S146+S138+S132+S126+S107+S97+S66+S61</f>
        <v>3126870709.670001</v>
      </c>
      <c r="T147" s="567">
        <v>147</v>
      </c>
    </row>
    <row r="148" spans="2:20" s="427" customFormat="1" ht="20.100000000000001" customHeight="1">
      <c r="B148" s="332"/>
      <c r="C148" s="144"/>
      <c r="D148" s="528" t="s">
        <v>1234</v>
      </c>
      <c r="E148" s="391">
        <f>F148+G148+H148+I148+J148+K148</f>
        <v>0</v>
      </c>
      <c r="F148" s="391"/>
      <c r="G148" s="391"/>
      <c r="H148" s="391"/>
      <c r="I148" s="391"/>
      <c r="J148" s="391"/>
      <c r="K148" s="391"/>
      <c r="L148" s="487"/>
      <c r="M148" s="391">
        <f t="shared" si="16"/>
        <v>0</v>
      </c>
      <c r="N148" s="391"/>
      <c r="O148" s="391"/>
      <c r="P148" s="391"/>
      <c r="Q148" s="391"/>
      <c r="R148" s="409"/>
      <c r="S148" s="409">
        <f t="shared" si="17"/>
        <v>0</v>
      </c>
      <c r="T148" s="567">
        <v>148</v>
      </c>
    </row>
    <row r="149" spans="2:20" s="427" customFormat="1" ht="20.100000000000001" customHeight="1">
      <c r="B149" s="332">
        <v>70320</v>
      </c>
      <c r="C149" s="144" t="s">
        <v>420</v>
      </c>
      <c r="D149" s="391" t="s">
        <v>421</v>
      </c>
      <c r="E149" s="391">
        <f>F149+G149+H149+I149+J149+K149</f>
        <v>2400000</v>
      </c>
      <c r="F149" s="391"/>
      <c r="G149" s="391">
        <v>2400000</v>
      </c>
      <c r="H149" s="391"/>
      <c r="I149" s="391"/>
      <c r="J149" s="391"/>
      <c r="K149" s="391"/>
      <c r="L149" s="487"/>
      <c r="M149" s="391">
        <f t="shared" si="16"/>
        <v>2400000</v>
      </c>
      <c r="N149" s="391"/>
      <c r="O149" s="391"/>
      <c r="P149" s="391"/>
      <c r="Q149" s="391"/>
      <c r="R149" s="409">
        <v>4803380.34</v>
      </c>
      <c r="S149" s="409">
        <f t="shared" si="17"/>
        <v>2403380.34</v>
      </c>
      <c r="T149" s="567">
        <v>149</v>
      </c>
    </row>
    <row r="150" spans="2:20" s="427" customFormat="1" ht="20.100000000000001" customHeight="1">
      <c r="B150" s="320"/>
      <c r="C150" s="311"/>
      <c r="D150" s="528" t="s">
        <v>1235</v>
      </c>
      <c r="E150" s="571">
        <f t="shared" ref="E150:S150" si="22">E149</f>
        <v>2400000</v>
      </c>
      <c r="F150" s="571">
        <f t="shared" si="22"/>
        <v>0</v>
      </c>
      <c r="G150" s="571">
        <f t="shared" si="22"/>
        <v>2400000</v>
      </c>
      <c r="H150" s="571">
        <f t="shared" si="22"/>
        <v>0</v>
      </c>
      <c r="I150" s="571">
        <f t="shared" si="22"/>
        <v>0</v>
      </c>
      <c r="J150" s="571">
        <f t="shared" si="22"/>
        <v>0</v>
      </c>
      <c r="K150" s="571">
        <f t="shared" si="22"/>
        <v>0</v>
      </c>
      <c r="L150" s="571">
        <f t="shared" si="22"/>
        <v>0</v>
      </c>
      <c r="M150" s="571">
        <f t="shared" si="22"/>
        <v>2400000</v>
      </c>
      <c r="N150" s="571"/>
      <c r="O150" s="571"/>
      <c r="P150" s="571"/>
      <c r="Q150" s="571"/>
      <c r="R150" s="571">
        <f t="shared" si="22"/>
        <v>4803380.34</v>
      </c>
      <c r="S150" s="571">
        <f t="shared" si="22"/>
        <v>2403380.34</v>
      </c>
      <c r="T150" s="567">
        <v>150</v>
      </c>
    </row>
    <row r="151" spans="2:20" s="427" customFormat="1" ht="20.100000000000001" customHeight="1">
      <c r="B151" s="332">
        <v>70330</v>
      </c>
      <c r="C151" s="144" t="s">
        <v>666</v>
      </c>
      <c r="D151" s="391" t="s">
        <v>667</v>
      </c>
      <c r="E151" s="391">
        <f>F151+G151+H151+I151+J151+K151</f>
        <v>1025319698</v>
      </c>
      <c r="F151" s="391"/>
      <c r="G151" s="391"/>
      <c r="H151" s="391"/>
      <c r="I151" s="391">
        <v>1025319698</v>
      </c>
      <c r="J151" s="391"/>
      <c r="K151" s="391"/>
      <c r="L151" s="487"/>
      <c r="M151" s="391">
        <f t="shared" si="16"/>
        <v>1025319698</v>
      </c>
      <c r="N151" s="391"/>
      <c r="O151" s="391"/>
      <c r="P151" s="391"/>
      <c r="Q151" s="391"/>
      <c r="R151" s="409">
        <v>1387216870.3399999</v>
      </c>
      <c r="S151" s="409">
        <f t="shared" si="17"/>
        <v>361897172.33999991</v>
      </c>
      <c r="T151" s="567">
        <v>151</v>
      </c>
    </row>
    <row r="152" spans="2:20" s="427" customFormat="1" ht="20.100000000000001" customHeight="1">
      <c r="B152" s="332">
        <v>70330</v>
      </c>
      <c r="C152" s="144" t="s">
        <v>785</v>
      </c>
      <c r="D152" s="391" t="s">
        <v>786</v>
      </c>
      <c r="E152" s="391">
        <f>F152+G152+H152+I152+J152+K152</f>
        <v>0</v>
      </c>
      <c r="F152" s="391"/>
      <c r="G152" s="391"/>
      <c r="H152" s="391"/>
      <c r="I152" s="391"/>
      <c r="J152" s="391"/>
      <c r="K152" s="391"/>
      <c r="L152" s="487"/>
      <c r="M152" s="391">
        <f t="shared" si="16"/>
        <v>0</v>
      </c>
      <c r="N152" s="391"/>
      <c r="O152" s="391"/>
      <c r="P152" s="391"/>
      <c r="Q152" s="391"/>
      <c r="R152" s="409"/>
      <c r="S152" s="409">
        <f t="shared" si="17"/>
        <v>0</v>
      </c>
      <c r="T152" s="567">
        <v>152</v>
      </c>
    </row>
    <row r="153" spans="2:20" s="427" customFormat="1" ht="20.100000000000001" customHeight="1">
      <c r="B153" s="320"/>
      <c r="C153" s="311"/>
      <c r="D153" s="528" t="s">
        <v>1236</v>
      </c>
      <c r="E153" s="571">
        <f t="shared" ref="E153:S153" si="23">SUM(E151:E152)</f>
        <v>1025319698</v>
      </c>
      <c r="F153" s="571">
        <f t="shared" si="23"/>
        <v>0</v>
      </c>
      <c r="G153" s="571">
        <f t="shared" si="23"/>
        <v>0</v>
      </c>
      <c r="H153" s="571">
        <f t="shared" si="23"/>
        <v>0</v>
      </c>
      <c r="I153" s="571">
        <f t="shared" si="23"/>
        <v>1025319698</v>
      </c>
      <c r="J153" s="571">
        <f t="shared" si="23"/>
        <v>0</v>
      </c>
      <c r="K153" s="571">
        <f t="shared" si="23"/>
        <v>0</v>
      </c>
      <c r="L153" s="571">
        <f t="shared" si="23"/>
        <v>0</v>
      </c>
      <c r="M153" s="571">
        <f t="shared" si="23"/>
        <v>1025319698</v>
      </c>
      <c r="N153" s="571"/>
      <c r="O153" s="571"/>
      <c r="P153" s="571"/>
      <c r="Q153" s="571"/>
      <c r="R153" s="571">
        <f t="shared" si="23"/>
        <v>1387216870.3399999</v>
      </c>
      <c r="S153" s="571">
        <f t="shared" si="23"/>
        <v>361897172.33999991</v>
      </c>
      <c r="T153" s="567">
        <v>153</v>
      </c>
    </row>
    <row r="154" spans="2:20" s="427" customFormat="1" ht="20.100000000000001" customHeight="1">
      <c r="B154" s="320"/>
      <c r="C154" s="311"/>
      <c r="D154" s="528" t="s">
        <v>335</v>
      </c>
      <c r="E154" s="571">
        <f t="shared" ref="E154:S154" si="24">E153+E150</f>
        <v>1027719698</v>
      </c>
      <c r="F154" s="571">
        <f t="shared" si="24"/>
        <v>0</v>
      </c>
      <c r="G154" s="571">
        <f t="shared" si="24"/>
        <v>2400000</v>
      </c>
      <c r="H154" s="571">
        <f t="shared" si="24"/>
        <v>0</v>
      </c>
      <c r="I154" s="571">
        <f t="shared" si="24"/>
        <v>1025319698</v>
      </c>
      <c r="J154" s="571">
        <f t="shared" si="24"/>
        <v>0</v>
      </c>
      <c r="K154" s="571">
        <f t="shared" si="24"/>
        <v>0</v>
      </c>
      <c r="L154" s="571">
        <f t="shared" si="24"/>
        <v>0</v>
      </c>
      <c r="M154" s="571">
        <f t="shared" si="24"/>
        <v>1027719698</v>
      </c>
      <c r="N154" s="571"/>
      <c r="O154" s="571"/>
      <c r="P154" s="571"/>
      <c r="Q154" s="571"/>
      <c r="R154" s="571">
        <f t="shared" si="24"/>
        <v>1392020250.6799998</v>
      </c>
      <c r="S154" s="571">
        <f t="shared" si="24"/>
        <v>364300552.67999989</v>
      </c>
      <c r="T154" s="567">
        <v>154</v>
      </c>
    </row>
    <row r="155" spans="2:20" s="427" customFormat="1" ht="20.100000000000001" customHeight="1">
      <c r="B155" s="332"/>
      <c r="C155" s="144"/>
      <c r="D155" s="528" t="s">
        <v>1237</v>
      </c>
      <c r="E155" s="391">
        <f t="shared" ref="E155:E178" si="25">F155+G155+H155+I155+J155+K155</f>
        <v>0</v>
      </c>
      <c r="F155" s="391"/>
      <c r="G155" s="391"/>
      <c r="H155" s="391"/>
      <c r="I155" s="391"/>
      <c r="J155" s="391"/>
      <c r="K155" s="391"/>
      <c r="L155" s="487"/>
      <c r="M155" s="391">
        <f t="shared" si="16"/>
        <v>0</v>
      </c>
      <c r="N155" s="391"/>
      <c r="O155" s="391"/>
      <c r="P155" s="391"/>
      <c r="Q155" s="391"/>
      <c r="R155" s="409"/>
      <c r="S155" s="409">
        <f t="shared" si="17"/>
        <v>0</v>
      </c>
      <c r="T155" s="567">
        <v>155</v>
      </c>
    </row>
    <row r="156" spans="2:20" s="427" customFormat="1" ht="20.100000000000001" customHeight="1">
      <c r="B156" s="332">
        <v>70411</v>
      </c>
      <c r="C156" s="144" t="s">
        <v>378</v>
      </c>
      <c r="D156" s="391" t="s">
        <v>379</v>
      </c>
      <c r="E156" s="391">
        <f t="shared" si="25"/>
        <v>880000</v>
      </c>
      <c r="F156" s="391"/>
      <c r="G156" s="391">
        <v>880000</v>
      </c>
      <c r="H156" s="391"/>
      <c r="I156" s="391"/>
      <c r="J156" s="391"/>
      <c r="K156" s="391"/>
      <c r="L156" s="487"/>
      <c r="M156" s="391">
        <f t="shared" si="16"/>
        <v>880000</v>
      </c>
      <c r="N156" s="391"/>
      <c r="O156" s="391"/>
      <c r="P156" s="391"/>
      <c r="Q156" s="391"/>
      <c r="R156" s="409">
        <v>5669483.6200000001</v>
      </c>
      <c r="S156" s="409">
        <f t="shared" si="17"/>
        <v>4789483.62</v>
      </c>
      <c r="T156" s="567">
        <v>156</v>
      </c>
    </row>
    <row r="157" spans="2:20" s="427" customFormat="1" ht="20.100000000000001" customHeight="1">
      <c r="B157" s="332">
        <v>70411</v>
      </c>
      <c r="C157" s="144" t="s">
        <v>399</v>
      </c>
      <c r="D157" s="391" t="s">
        <v>400</v>
      </c>
      <c r="E157" s="391">
        <f t="shared" si="25"/>
        <v>770000</v>
      </c>
      <c r="F157" s="391"/>
      <c r="G157" s="391">
        <v>770000</v>
      </c>
      <c r="H157" s="391"/>
      <c r="I157" s="391"/>
      <c r="J157" s="391"/>
      <c r="K157" s="391"/>
      <c r="L157" s="487"/>
      <c r="M157" s="391">
        <f t="shared" si="16"/>
        <v>770000</v>
      </c>
      <c r="N157" s="391"/>
      <c r="O157" s="391"/>
      <c r="P157" s="391"/>
      <c r="Q157" s="391"/>
      <c r="R157" s="409">
        <v>1530760.58</v>
      </c>
      <c r="S157" s="409">
        <f t="shared" si="17"/>
        <v>760760.58000000007</v>
      </c>
      <c r="T157" s="567">
        <v>157</v>
      </c>
    </row>
    <row r="158" spans="2:20" s="427" customFormat="1" ht="20.100000000000001" customHeight="1">
      <c r="B158" s="332">
        <v>70411</v>
      </c>
      <c r="C158" s="144" t="s">
        <v>187</v>
      </c>
      <c r="D158" s="391" t="s">
        <v>188</v>
      </c>
      <c r="E158" s="391">
        <f t="shared" si="25"/>
        <v>195427323.97</v>
      </c>
      <c r="F158" s="391">
        <v>190527323.97</v>
      </c>
      <c r="G158" s="391">
        <v>4900000</v>
      </c>
      <c r="H158" s="391"/>
      <c r="I158" s="391"/>
      <c r="J158" s="391"/>
      <c r="K158" s="391"/>
      <c r="L158" s="487"/>
      <c r="M158" s="391">
        <f t="shared" si="16"/>
        <v>195427323.97</v>
      </c>
      <c r="N158" s="391"/>
      <c r="O158" s="391"/>
      <c r="P158" s="391"/>
      <c r="Q158" s="391"/>
      <c r="R158" s="409">
        <v>548283043.34000003</v>
      </c>
      <c r="S158" s="409">
        <f t="shared" si="17"/>
        <v>352855719.37</v>
      </c>
      <c r="T158" s="567">
        <v>158</v>
      </c>
    </row>
    <row r="159" spans="2:20" s="427" customFormat="1" ht="20.100000000000001" customHeight="1">
      <c r="B159" s="332">
        <v>70411</v>
      </c>
      <c r="C159" s="144" t="s">
        <v>521</v>
      </c>
      <c r="D159" s="391" t="s">
        <v>522</v>
      </c>
      <c r="E159" s="391">
        <f t="shared" si="25"/>
        <v>480000</v>
      </c>
      <c r="F159" s="391"/>
      <c r="G159" s="391">
        <v>480000</v>
      </c>
      <c r="H159" s="391"/>
      <c r="I159" s="391"/>
      <c r="J159" s="391"/>
      <c r="K159" s="391"/>
      <c r="L159" s="487"/>
      <c r="M159" s="391">
        <f t="shared" si="16"/>
        <v>480000</v>
      </c>
      <c r="N159" s="391"/>
      <c r="O159" s="391"/>
      <c r="P159" s="391"/>
      <c r="Q159" s="391"/>
      <c r="R159" s="409">
        <v>4500000</v>
      </c>
      <c r="S159" s="409">
        <f t="shared" si="17"/>
        <v>4020000</v>
      </c>
      <c r="T159" s="567">
        <v>159</v>
      </c>
    </row>
    <row r="160" spans="2:20" s="427" customFormat="1" ht="20.100000000000001" customHeight="1">
      <c r="B160" s="332">
        <v>70411</v>
      </c>
      <c r="C160" s="144" t="s">
        <v>524</v>
      </c>
      <c r="D160" s="391" t="s">
        <v>525</v>
      </c>
      <c r="E160" s="391">
        <f t="shared" si="25"/>
        <v>2210000</v>
      </c>
      <c r="F160" s="391"/>
      <c r="G160" s="391">
        <v>2210000</v>
      </c>
      <c r="H160" s="391"/>
      <c r="I160" s="391"/>
      <c r="J160" s="391"/>
      <c r="K160" s="391"/>
      <c r="L160" s="487"/>
      <c r="M160" s="391">
        <f t="shared" si="16"/>
        <v>2210000</v>
      </c>
      <c r="N160" s="391"/>
      <c r="O160" s="391"/>
      <c r="P160" s="391"/>
      <c r="Q160" s="391"/>
      <c r="R160" s="409">
        <v>3571774.68</v>
      </c>
      <c r="S160" s="409">
        <f t="shared" si="17"/>
        <v>1361774.6800000002</v>
      </c>
      <c r="T160" s="567">
        <v>160</v>
      </c>
    </row>
    <row r="161" spans="2:20" s="427" customFormat="1" ht="20.100000000000001" customHeight="1">
      <c r="B161" s="332">
        <v>70411</v>
      </c>
      <c r="C161" s="144" t="s">
        <v>1238</v>
      </c>
      <c r="D161" s="391" t="s">
        <v>1239</v>
      </c>
      <c r="E161" s="391">
        <f t="shared" si="25"/>
        <v>0</v>
      </c>
      <c r="F161" s="391"/>
      <c r="G161" s="391"/>
      <c r="H161" s="391"/>
      <c r="I161" s="391"/>
      <c r="J161" s="391"/>
      <c r="K161" s="391"/>
      <c r="L161" s="487"/>
      <c r="M161" s="391">
        <f t="shared" si="16"/>
        <v>0</v>
      </c>
      <c r="N161" s="391"/>
      <c r="O161" s="391"/>
      <c r="P161" s="391"/>
      <c r="Q161" s="391"/>
      <c r="R161" s="409"/>
      <c r="S161" s="409">
        <f t="shared" si="17"/>
        <v>0</v>
      </c>
      <c r="T161" s="567">
        <v>161</v>
      </c>
    </row>
    <row r="162" spans="2:20" s="427" customFormat="1" ht="20.100000000000001" customHeight="1">
      <c r="B162" s="332">
        <v>70411</v>
      </c>
      <c r="C162" s="144" t="s">
        <v>527</v>
      </c>
      <c r="D162" s="391" t="s">
        <v>528</v>
      </c>
      <c r="E162" s="391">
        <f t="shared" si="25"/>
        <v>1680000</v>
      </c>
      <c r="F162" s="391"/>
      <c r="G162" s="391">
        <v>1680000</v>
      </c>
      <c r="H162" s="391"/>
      <c r="I162" s="391"/>
      <c r="J162" s="391"/>
      <c r="K162" s="391"/>
      <c r="L162" s="487"/>
      <c r="M162" s="391">
        <f t="shared" si="16"/>
        <v>1680000</v>
      </c>
      <c r="N162" s="391"/>
      <c r="O162" s="391"/>
      <c r="P162" s="391"/>
      <c r="Q162" s="391"/>
      <c r="R162" s="409">
        <v>20361048.859999999</v>
      </c>
      <c r="S162" s="409">
        <f t="shared" si="17"/>
        <v>18681048.859999999</v>
      </c>
      <c r="T162" s="567">
        <v>162</v>
      </c>
    </row>
    <row r="163" spans="2:20" s="427" customFormat="1" ht="20.100000000000001" customHeight="1">
      <c r="B163" s="332">
        <v>70411</v>
      </c>
      <c r="C163" s="144" t="s">
        <v>190</v>
      </c>
      <c r="D163" s="391" t="s">
        <v>191</v>
      </c>
      <c r="E163" s="391">
        <f t="shared" si="25"/>
        <v>34911474.18</v>
      </c>
      <c r="F163" s="391">
        <v>33711474.18</v>
      </c>
      <c r="G163" s="391">
        <v>1200000</v>
      </c>
      <c r="H163" s="391"/>
      <c r="I163" s="391"/>
      <c r="J163" s="391"/>
      <c r="K163" s="391"/>
      <c r="L163" s="487"/>
      <c r="M163" s="391">
        <f t="shared" si="16"/>
        <v>34911474.18</v>
      </c>
      <c r="N163" s="391"/>
      <c r="O163" s="391"/>
      <c r="P163" s="391"/>
      <c r="Q163" s="391"/>
      <c r="R163" s="409">
        <v>57189248.840000004</v>
      </c>
      <c r="S163" s="409">
        <f t="shared" si="17"/>
        <v>22277774.660000004</v>
      </c>
      <c r="T163" s="567">
        <v>163</v>
      </c>
    </row>
    <row r="164" spans="2:20" s="427" customFormat="1" ht="20.100000000000001" customHeight="1">
      <c r="B164" s="332">
        <v>70411</v>
      </c>
      <c r="C164" s="144" t="s">
        <v>530</v>
      </c>
      <c r="D164" s="391" t="s">
        <v>531</v>
      </c>
      <c r="E164" s="391">
        <f t="shared" si="25"/>
        <v>300000</v>
      </c>
      <c r="F164" s="391"/>
      <c r="G164" s="391">
        <v>300000</v>
      </c>
      <c r="H164" s="391"/>
      <c r="I164" s="391"/>
      <c r="J164" s="391"/>
      <c r="K164" s="391"/>
      <c r="L164" s="487"/>
      <c r="M164" s="391">
        <f t="shared" si="16"/>
        <v>300000</v>
      </c>
      <c r="N164" s="391"/>
      <c r="O164" s="391"/>
      <c r="P164" s="391"/>
      <c r="Q164" s="391"/>
      <c r="R164" s="409">
        <v>2000000</v>
      </c>
      <c r="S164" s="409">
        <f t="shared" si="17"/>
        <v>1700000</v>
      </c>
      <c r="T164" s="567">
        <v>164</v>
      </c>
    </row>
    <row r="165" spans="2:20" s="427" customFormat="1" ht="20.100000000000001" customHeight="1">
      <c r="B165" s="332">
        <v>70411</v>
      </c>
      <c r="C165" s="144"/>
      <c r="D165" s="391" t="s">
        <v>1240</v>
      </c>
      <c r="E165" s="391">
        <f t="shared" si="25"/>
        <v>0</v>
      </c>
      <c r="F165" s="391"/>
      <c r="G165" s="391"/>
      <c r="H165" s="391"/>
      <c r="I165" s="391"/>
      <c r="J165" s="391"/>
      <c r="K165" s="391"/>
      <c r="L165" s="487"/>
      <c r="M165" s="391">
        <f t="shared" si="16"/>
        <v>0</v>
      </c>
      <c r="N165" s="391"/>
      <c r="O165" s="391"/>
      <c r="P165" s="391"/>
      <c r="Q165" s="391"/>
      <c r="R165" s="409"/>
      <c r="S165" s="409">
        <f t="shared" si="17"/>
        <v>0</v>
      </c>
      <c r="T165" s="567">
        <v>165</v>
      </c>
    </row>
    <row r="166" spans="2:20" s="427" customFormat="1" ht="20.100000000000001" customHeight="1">
      <c r="B166" s="332">
        <v>70411</v>
      </c>
      <c r="C166" s="144" t="s">
        <v>549</v>
      </c>
      <c r="D166" s="391" t="s">
        <v>1241</v>
      </c>
      <c r="E166" s="391">
        <f t="shared" si="25"/>
        <v>0</v>
      </c>
      <c r="F166" s="391"/>
      <c r="G166" s="391"/>
      <c r="H166" s="391"/>
      <c r="I166" s="391"/>
      <c r="J166" s="391"/>
      <c r="K166" s="391"/>
      <c r="L166" s="487"/>
      <c r="M166" s="391">
        <f t="shared" si="16"/>
        <v>0</v>
      </c>
      <c r="N166" s="391"/>
      <c r="O166" s="391"/>
      <c r="P166" s="391"/>
      <c r="Q166" s="391"/>
      <c r="R166" s="409"/>
      <c r="S166" s="409">
        <f t="shared" si="17"/>
        <v>0</v>
      </c>
      <c r="T166" s="567">
        <v>166</v>
      </c>
    </row>
    <row r="167" spans="2:20" s="427" customFormat="1" ht="20.100000000000001" customHeight="1">
      <c r="B167" s="332">
        <v>70411</v>
      </c>
      <c r="C167" s="144" t="s">
        <v>193</v>
      </c>
      <c r="D167" s="391" t="s">
        <v>194</v>
      </c>
      <c r="E167" s="391">
        <f t="shared" si="25"/>
        <v>11995397.810000001</v>
      </c>
      <c r="F167" s="391">
        <v>10543397.810000001</v>
      </c>
      <c r="G167" s="391">
        <v>1452000</v>
      </c>
      <c r="H167" s="391"/>
      <c r="I167" s="391"/>
      <c r="J167" s="391"/>
      <c r="K167" s="391"/>
      <c r="L167" s="487"/>
      <c r="M167" s="391">
        <f t="shared" si="16"/>
        <v>11995397.810000001</v>
      </c>
      <c r="N167" s="391"/>
      <c r="O167" s="391"/>
      <c r="P167" s="391"/>
      <c r="Q167" s="391"/>
      <c r="R167" s="409">
        <v>24193672.190000001</v>
      </c>
      <c r="S167" s="409">
        <f t="shared" si="17"/>
        <v>12198274.380000001</v>
      </c>
      <c r="T167" s="567">
        <v>167</v>
      </c>
    </row>
    <row r="168" spans="2:20" s="427" customFormat="1" ht="20.100000000000001" customHeight="1">
      <c r="B168" s="332">
        <v>70411</v>
      </c>
      <c r="C168" s="144" t="s">
        <v>216</v>
      </c>
      <c r="D168" s="391" t="s">
        <v>217</v>
      </c>
      <c r="E168" s="391">
        <f t="shared" si="25"/>
        <v>130780735.40000001</v>
      </c>
      <c r="F168" s="391">
        <v>71776385.400000006</v>
      </c>
      <c r="G168" s="391">
        <v>5760000</v>
      </c>
      <c r="H168" s="391">
        <f>53244350</f>
        <v>53244350</v>
      </c>
      <c r="I168" s="391"/>
      <c r="J168" s="391"/>
      <c r="K168" s="391"/>
      <c r="L168" s="487">
        <v>105984818.8</v>
      </c>
      <c r="M168" s="391">
        <f t="shared" si="16"/>
        <v>236765554.19999999</v>
      </c>
      <c r="N168" s="391"/>
      <c r="O168" s="391"/>
      <c r="P168" s="391"/>
      <c r="Q168" s="391"/>
      <c r="R168" s="409">
        <v>2688090141.8600001</v>
      </c>
      <c r="S168" s="409">
        <f t="shared" si="17"/>
        <v>2451324587.6600003</v>
      </c>
      <c r="T168" s="567">
        <v>168</v>
      </c>
    </row>
    <row r="169" spans="2:20" s="427" customFormat="1" ht="20.100000000000001" customHeight="1">
      <c r="B169" s="332">
        <v>70411</v>
      </c>
      <c r="C169" s="144"/>
      <c r="D169" s="391" t="s">
        <v>1242</v>
      </c>
      <c r="E169" s="391">
        <f t="shared" si="25"/>
        <v>0</v>
      </c>
      <c r="F169" s="391"/>
      <c r="G169" s="391"/>
      <c r="H169" s="391"/>
      <c r="I169" s="391"/>
      <c r="J169" s="391"/>
      <c r="K169" s="391"/>
      <c r="L169" s="487"/>
      <c r="M169" s="391">
        <f t="shared" si="16"/>
        <v>0</v>
      </c>
      <c r="N169" s="391"/>
      <c r="O169" s="391"/>
      <c r="P169" s="391"/>
      <c r="Q169" s="391"/>
      <c r="R169" s="409"/>
      <c r="S169" s="409">
        <f t="shared" si="17"/>
        <v>0</v>
      </c>
      <c r="T169" s="567">
        <v>169</v>
      </c>
    </row>
    <row r="170" spans="2:20" s="427" customFormat="1" ht="20.100000000000001" customHeight="1">
      <c r="B170" s="332">
        <v>70411</v>
      </c>
      <c r="C170" s="144" t="s">
        <v>556</v>
      </c>
      <c r="D170" s="391" t="s">
        <v>557</v>
      </c>
      <c r="E170" s="391">
        <f t="shared" si="25"/>
        <v>2985000</v>
      </c>
      <c r="F170" s="391"/>
      <c r="G170" s="391">
        <v>2985000</v>
      </c>
      <c r="H170" s="391"/>
      <c r="I170" s="391"/>
      <c r="J170" s="391"/>
      <c r="K170" s="391"/>
      <c r="L170" s="487"/>
      <c r="M170" s="391">
        <f t="shared" si="16"/>
        <v>2985000</v>
      </c>
      <c r="N170" s="391"/>
      <c r="O170" s="391"/>
      <c r="P170" s="391"/>
      <c r="Q170" s="391"/>
      <c r="R170" s="409">
        <v>5000000</v>
      </c>
      <c r="S170" s="409">
        <f t="shared" si="17"/>
        <v>2015000</v>
      </c>
      <c r="T170" s="567">
        <v>170</v>
      </c>
    </row>
    <row r="171" spans="2:20" s="427" customFormat="1" ht="20.100000000000001" customHeight="1">
      <c r="B171" s="332">
        <v>70411</v>
      </c>
      <c r="C171" s="144" t="s">
        <v>559</v>
      </c>
      <c r="D171" s="391" t="s">
        <v>560</v>
      </c>
      <c r="E171" s="391">
        <f t="shared" si="25"/>
        <v>600000</v>
      </c>
      <c r="F171" s="391"/>
      <c r="G171" s="391">
        <v>600000</v>
      </c>
      <c r="H171" s="391"/>
      <c r="I171" s="391"/>
      <c r="J171" s="391"/>
      <c r="K171" s="391"/>
      <c r="L171" s="487"/>
      <c r="M171" s="391">
        <f t="shared" si="16"/>
        <v>600000</v>
      </c>
      <c r="N171" s="391"/>
      <c r="O171" s="391"/>
      <c r="P171" s="391"/>
      <c r="Q171" s="391"/>
      <c r="R171" s="409">
        <v>6000000</v>
      </c>
      <c r="S171" s="409">
        <f t="shared" si="17"/>
        <v>5400000</v>
      </c>
      <c r="T171" s="567">
        <v>171</v>
      </c>
    </row>
    <row r="172" spans="2:20" s="427" customFormat="1" ht="20.100000000000001" customHeight="1">
      <c r="B172" s="332">
        <v>70411</v>
      </c>
      <c r="C172" s="144" t="s">
        <v>1243</v>
      </c>
      <c r="D172" s="391" t="s">
        <v>1244</v>
      </c>
      <c r="E172" s="391">
        <f t="shared" si="25"/>
        <v>0</v>
      </c>
      <c r="F172" s="391"/>
      <c r="G172" s="391"/>
      <c r="H172" s="391"/>
      <c r="I172" s="391"/>
      <c r="J172" s="391"/>
      <c r="K172" s="391"/>
      <c r="L172" s="487"/>
      <c r="M172" s="391">
        <f t="shared" si="16"/>
        <v>0</v>
      </c>
      <c r="N172" s="391"/>
      <c r="O172" s="391"/>
      <c r="P172" s="391"/>
      <c r="Q172" s="391"/>
      <c r="R172" s="409"/>
      <c r="S172" s="409">
        <f t="shared" si="17"/>
        <v>0</v>
      </c>
      <c r="T172" s="567">
        <v>172</v>
      </c>
    </row>
    <row r="173" spans="2:20" s="427" customFormat="1" ht="20.100000000000001" customHeight="1">
      <c r="B173" s="332">
        <v>70411</v>
      </c>
      <c r="C173" s="144" t="s">
        <v>562</v>
      </c>
      <c r="D173" s="391" t="s">
        <v>563</v>
      </c>
      <c r="E173" s="391">
        <f t="shared" si="25"/>
        <v>337500</v>
      </c>
      <c r="F173" s="391"/>
      <c r="G173" s="391">
        <v>337500</v>
      </c>
      <c r="H173" s="391"/>
      <c r="I173" s="391"/>
      <c r="J173" s="391"/>
      <c r="K173" s="391"/>
      <c r="L173" s="487"/>
      <c r="M173" s="391">
        <f t="shared" si="16"/>
        <v>337500</v>
      </c>
      <c r="N173" s="391"/>
      <c r="O173" s="391"/>
      <c r="P173" s="391"/>
      <c r="Q173" s="391"/>
      <c r="R173" s="409">
        <v>2500000</v>
      </c>
      <c r="S173" s="409">
        <f t="shared" si="17"/>
        <v>2162500</v>
      </c>
      <c r="T173" s="567">
        <v>173</v>
      </c>
    </row>
    <row r="174" spans="2:20" s="427" customFormat="1" ht="20.100000000000001" customHeight="1">
      <c r="B174" s="332">
        <v>70411</v>
      </c>
      <c r="C174" s="144" t="s">
        <v>565</v>
      </c>
      <c r="D174" s="391" t="s">
        <v>566</v>
      </c>
      <c r="E174" s="391">
        <f t="shared" si="25"/>
        <v>900000</v>
      </c>
      <c r="F174" s="391"/>
      <c r="G174" s="391">
        <v>900000</v>
      </c>
      <c r="H174" s="391"/>
      <c r="I174" s="391"/>
      <c r="J174" s="391"/>
      <c r="K174" s="391"/>
      <c r="L174" s="487"/>
      <c r="M174" s="391">
        <f t="shared" si="16"/>
        <v>900000</v>
      </c>
      <c r="N174" s="391"/>
      <c r="O174" s="391"/>
      <c r="P174" s="391"/>
      <c r="Q174" s="391"/>
      <c r="R174" s="409">
        <v>6000000</v>
      </c>
      <c r="S174" s="409">
        <f t="shared" si="17"/>
        <v>5100000</v>
      </c>
      <c r="T174" s="567">
        <v>174</v>
      </c>
    </row>
    <row r="175" spans="2:20" s="427" customFormat="1" ht="20.100000000000001" customHeight="1">
      <c r="B175" s="332">
        <v>70411</v>
      </c>
      <c r="C175" s="144" t="s">
        <v>464</v>
      </c>
      <c r="D175" s="391" t="s">
        <v>1320</v>
      </c>
      <c r="E175" s="391">
        <f t="shared" si="25"/>
        <v>600000</v>
      </c>
      <c r="F175" s="391"/>
      <c r="G175" s="391">
        <v>600000</v>
      </c>
      <c r="H175" s="391"/>
      <c r="I175" s="391"/>
      <c r="J175" s="391"/>
      <c r="K175" s="391"/>
      <c r="L175" s="487"/>
      <c r="M175" s="391">
        <f t="shared" si="16"/>
        <v>600000</v>
      </c>
      <c r="N175" s="391"/>
      <c r="O175" s="391"/>
      <c r="P175" s="391"/>
      <c r="Q175" s="391"/>
      <c r="R175" s="409">
        <v>3000000</v>
      </c>
      <c r="S175" s="409">
        <f t="shared" si="17"/>
        <v>2400000</v>
      </c>
      <c r="T175" s="567">
        <v>175</v>
      </c>
    </row>
    <row r="176" spans="2:20" s="427" customFormat="1" ht="20.100000000000001" customHeight="1">
      <c r="B176" s="332">
        <v>70411</v>
      </c>
      <c r="C176" s="144" t="s">
        <v>462</v>
      </c>
      <c r="D176" s="391" t="s">
        <v>1321</v>
      </c>
      <c r="E176" s="391">
        <f t="shared" si="25"/>
        <v>1200000</v>
      </c>
      <c r="F176" s="391"/>
      <c r="G176" s="391">
        <v>1200000</v>
      </c>
      <c r="H176" s="391"/>
      <c r="I176" s="391"/>
      <c r="J176" s="391"/>
      <c r="K176" s="391"/>
      <c r="L176" s="487"/>
      <c r="M176" s="391">
        <f t="shared" si="16"/>
        <v>1200000</v>
      </c>
      <c r="N176" s="391"/>
      <c r="O176" s="391"/>
      <c r="P176" s="391"/>
      <c r="Q176" s="391"/>
      <c r="R176" s="409">
        <v>4000000</v>
      </c>
      <c r="S176" s="409">
        <f t="shared" si="17"/>
        <v>2800000</v>
      </c>
      <c r="T176" s="567">
        <v>176</v>
      </c>
    </row>
    <row r="177" spans="2:20" s="427" customFormat="1" ht="20.100000000000001" customHeight="1">
      <c r="B177" s="332">
        <v>70411</v>
      </c>
      <c r="C177" s="144" t="s">
        <v>1495</v>
      </c>
      <c r="D177" s="391" t="s">
        <v>2016</v>
      </c>
      <c r="E177" s="391">
        <f t="shared" si="25"/>
        <v>1233000</v>
      </c>
      <c r="F177" s="391"/>
      <c r="G177" s="391">
        <v>1233000</v>
      </c>
      <c r="H177" s="391"/>
      <c r="I177" s="391"/>
      <c r="J177" s="391"/>
      <c r="K177" s="391"/>
      <c r="L177" s="487"/>
      <c r="M177" s="391">
        <f t="shared" si="16"/>
        <v>1233000</v>
      </c>
      <c r="N177" s="391"/>
      <c r="O177" s="391"/>
      <c r="P177" s="391"/>
      <c r="Q177" s="391"/>
      <c r="R177" s="409">
        <v>2000000</v>
      </c>
      <c r="S177" s="409">
        <f t="shared" si="17"/>
        <v>767000</v>
      </c>
      <c r="T177" s="567">
        <v>177</v>
      </c>
    </row>
    <row r="178" spans="2:20" s="427" customFormat="1" ht="20.100000000000001" customHeight="1">
      <c r="B178" s="332">
        <v>70411</v>
      </c>
      <c r="C178" s="144" t="s">
        <v>464</v>
      </c>
      <c r="D178" s="391" t="s">
        <v>463</v>
      </c>
      <c r="E178" s="391">
        <f t="shared" si="25"/>
        <v>29017990.93</v>
      </c>
      <c r="F178" s="391"/>
      <c r="G178" s="391">
        <v>600000</v>
      </c>
      <c r="H178" s="391">
        <v>28417990.93</v>
      </c>
      <c r="I178" s="391"/>
      <c r="J178" s="391"/>
      <c r="K178" s="391"/>
      <c r="L178" s="487"/>
      <c r="M178" s="391">
        <f t="shared" si="16"/>
        <v>29017990.93</v>
      </c>
      <c r="N178" s="391"/>
      <c r="O178" s="391"/>
      <c r="P178" s="391"/>
      <c r="Q178" s="391"/>
      <c r="R178" s="409">
        <v>2000000</v>
      </c>
      <c r="S178" s="409">
        <f t="shared" si="17"/>
        <v>-27017990.93</v>
      </c>
      <c r="T178" s="567">
        <v>178</v>
      </c>
    </row>
    <row r="179" spans="2:20" s="427" customFormat="1" ht="20.100000000000001" customHeight="1">
      <c r="B179" s="320"/>
      <c r="C179" s="311"/>
      <c r="D179" s="528" t="s">
        <v>1245</v>
      </c>
      <c r="E179" s="571">
        <f t="shared" ref="E179:S179" si="26">SUM(E156:E178)</f>
        <v>416308422.29000002</v>
      </c>
      <c r="F179" s="571">
        <f t="shared" si="26"/>
        <v>306558581.36000001</v>
      </c>
      <c r="G179" s="571">
        <f t="shared" si="26"/>
        <v>28087500</v>
      </c>
      <c r="H179" s="571">
        <f t="shared" si="26"/>
        <v>81662340.930000007</v>
      </c>
      <c r="I179" s="571">
        <f t="shared" si="26"/>
        <v>0</v>
      </c>
      <c r="J179" s="571">
        <f t="shared" si="26"/>
        <v>0</v>
      </c>
      <c r="K179" s="571">
        <f t="shared" si="26"/>
        <v>0</v>
      </c>
      <c r="L179" s="571">
        <f t="shared" si="26"/>
        <v>105984818.8</v>
      </c>
      <c r="M179" s="571">
        <f t="shared" si="26"/>
        <v>522293241.08999997</v>
      </c>
      <c r="N179" s="571"/>
      <c r="O179" s="571"/>
      <c r="P179" s="571"/>
      <c r="Q179" s="571"/>
      <c r="R179" s="571">
        <f t="shared" si="26"/>
        <v>3385889173.9700003</v>
      </c>
      <c r="S179" s="571">
        <f t="shared" si="26"/>
        <v>2863595932.8800006</v>
      </c>
      <c r="T179" s="567">
        <v>179</v>
      </c>
    </row>
    <row r="180" spans="2:20" s="427" customFormat="1" ht="20.100000000000001" customHeight="1">
      <c r="B180" s="332">
        <v>70412</v>
      </c>
      <c r="C180" s="144" t="s">
        <v>1246</v>
      </c>
      <c r="D180" s="391" t="s">
        <v>1247</v>
      </c>
      <c r="E180" s="391">
        <f>F180+G180+H180+I180+J180+K180</f>
        <v>0</v>
      </c>
      <c r="F180" s="391"/>
      <c r="G180" s="391"/>
      <c r="H180" s="391"/>
      <c r="I180" s="391"/>
      <c r="J180" s="391"/>
      <c r="K180" s="391"/>
      <c r="L180" s="487"/>
      <c r="M180" s="391">
        <f t="shared" si="16"/>
        <v>0</v>
      </c>
      <c r="N180" s="391"/>
      <c r="O180" s="391"/>
      <c r="P180" s="391"/>
      <c r="Q180" s="391"/>
      <c r="R180" s="409">
        <v>0</v>
      </c>
      <c r="S180" s="409">
        <f t="shared" si="17"/>
        <v>0</v>
      </c>
      <c r="T180" s="567">
        <v>180</v>
      </c>
    </row>
    <row r="181" spans="2:20" s="427" customFormat="1" ht="20.100000000000001" customHeight="1">
      <c r="B181" s="332">
        <v>70412</v>
      </c>
      <c r="C181" s="144" t="s">
        <v>533</v>
      </c>
      <c r="D181" s="391" t="s">
        <v>534</v>
      </c>
      <c r="E181" s="391">
        <f>F181+G181+H181+I181+J181+K181</f>
        <v>1320000</v>
      </c>
      <c r="F181" s="391"/>
      <c r="G181" s="391">
        <v>1320000</v>
      </c>
      <c r="H181" s="391"/>
      <c r="I181" s="391"/>
      <c r="J181" s="391"/>
      <c r="K181" s="391"/>
      <c r="L181" s="487">
        <v>682315710</v>
      </c>
      <c r="M181" s="391">
        <f t="shared" si="16"/>
        <v>683635710</v>
      </c>
      <c r="N181" s="391"/>
      <c r="O181" s="391"/>
      <c r="P181" s="391"/>
      <c r="Q181" s="391"/>
      <c r="R181" s="409">
        <v>877093638.52999997</v>
      </c>
      <c r="S181" s="409">
        <f t="shared" si="17"/>
        <v>193457928.52999997</v>
      </c>
      <c r="T181" s="567">
        <v>181</v>
      </c>
    </row>
    <row r="182" spans="2:20" s="427" customFormat="1" ht="20.100000000000001" customHeight="1">
      <c r="B182" s="320"/>
      <c r="C182" s="311"/>
      <c r="D182" s="528" t="s">
        <v>1248</v>
      </c>
      <c r="E182" s="571">
        <f t="shared" ref="E182:S182" si="27">SUM(E180:E181)</f>
        <v>1320000</v>
      </c>
      <c r="F182" s="571">
        <f t="shared" si="27"/>
        <v>0</v>
      </c>
      <c r="G182" s="571">
        <f t="shared" si="27"/>
        <v>1320000</v>
      </c>
      <c r="H182" s="571">
        <f t="shared" si="27"/>
        <v>0</v>
      </c>
      <c r="I182" s="571">
        <f t="shared" si="27"/>
        <v>0</v>
      </c>
      <c r="J182" s="571">
        <f t="shared" si="27"/>
        <v>0</v>
      </c>
      <c r="K182" s="571">
        <f t="shared" si="27"/>
        <v>0</v>
      </c>
      <c r="L182" s="571">
        <f t="shared" si="27"/>
        <v>682315710</v>
      </c>
      <c r="M182" s="571">
        <f t="shared" si="27"/>
        <v>683635710</v>
      </c>
      <c r="N182" s="571"/>
      <c r="O182" s="571"/>
      <c r="P182" s="571"/>
      <c r="Q182" s="571"/>
      <c r="R182" s="571">
        <f t="shared" si="27"/>
        <v>877093638.52999997</v>
      </c>
      <c r="S182" s="571">
        <f t="shared" si="27"/>
        <v>193457928.52999997</v>
      </c>
      <c r="T182" s="567">
        <v>182</v>
      </c>
    </row>
    <row r="183" spans="2:20" s="427" customFormat="1" ht="20.100000000000001" customHeight="1">
      <c r="B183" s="332">
        <v>70421</v>
      </c>
      <c r="C183" s="144" t="s">
        <v>163</v>
      </c>
      <c r="D183" s="391" t="s">
        <v>164</v>
      </c>
      <c r="E183" s="391">
        <f>F183+G183+H183+I183+J183+K183</f>
        <v>445360921.32999998</v>
      </c>
      <c r="F183" s="391">
        <v>440958421.32999998</v>
      </c>
      <c r="G183" s="391">
        <v>4402500</v>
      </c>
      <c r="H183" s="391"/>
      <c r="I183" s="391"/>
      <c r="J183" s="391"/>
      <c r="K183" s="391"/>
      <c r="L183" s="487"/>
      <c r="M183" s="391">
        <f t="shared" si="16"/>
        <v>445360921.32999998</v>
      </c>
      <c r="N183" s="391"/>
      <c r="O183" s="391"/>
      <c r="P183" s="391"/>
      <c r="Q183" s="391"/>
      <c r="R183" s="409">
        <v>948000570.85000002</v>
      </c>
      <c r="S183" s="409">
        <f t="shared" si="17"/>
        <v>502639649.52000004</v>
      </c>
      <c r="T183" s="567">
        <v>183</v>
      </c>
    </row>
    <row r="184" spans="2:20" s="427" customFormat="1" ht="20.100000000000001" customHeight="1">
      <c r="B184" s="332">
        <v>70421</v>
      </c>
      <c r="C184" s="144"/>
      <c r="D184" s="391" t="s">
        <v>1249</v>
      </c>
      <c r="E184" s="391">
        <f>F184+G184+H184+I184+J184+K184</f>
        <v>0</v>
      </c>
      <c r="F184" s="391"/>
      <c r="G184" s="391"/>
      <c r="H184" s="391"/>
      <c r="I184" s="391"/>
      <c r="J184" s="391"/>
      <c r="K184" s="391"/>
      <c r="L184" s="487"/>
      <c r="M184" s="391">
        <f t="shared" si="16"/>
        <v>0</v>
      </c>
      <c r="N184" s="391"/>
      <c r="O184" s="391"/>
      <c r="P184" s="391"/>
      <c r="Q184" s="391"/>
      <c r="R184" s="409"/>
      <c r="S184" s="409">
        <f t="shared" si="17"/>
        <v>0</v>
      </c>
      <c r="T184" s="567">
        <v>184</v>
      </c>
    </row>
    <row r="185" spans="2:20" s="427" customFormat="1" ht="20.100000000000001" customHeight="1">
      <c r="B185" s="332">
        <v>70421</v>
      </c>
      <c r="C185" s="144" t="s">
        <v>472</v>
      </c>
      <c r="D185" s="391" t="s">
        <v>473</v>
      </c>
      <c r="E185" s="391">
        <f>F185+G185+H185+I185+J185+K185</f>
        <v>2200000</v>
      </c>
      <c r="F185" s="391"/>
      <c r="G185" s="391">
        <v>2200000</v>
      </c>
      <c r="H185" s="391"/>
      <c r="I185" s="391"/>
      <c r="J185" s="391"/>
      <c r="K185" s="391"/>
      <c r="L185" s="487"/>
      <c r="M185" s="391">
        <f t="shared" si="16"/>
        <v>2200000</v>
      </c>
      <c r="N185" s="391"/>
      <c r="O185" s="391"/>
      <c r="P185" s="391"/>
      <c r="Q185" s="391"/>
      <c r="R185" s="409">
        <v>3968638.53</v>
      </c>
      <c r="S185" s="409">
        <f t="shared" si="17"/>
        <v>1768638.5299999998</v>
      </c>
      <c r="T185" s="567">
        <v>185</v>
      </c>
    </row>
    <row r="186" spans="2:20" s="427" customFormat="1" ht="21.75" customHeight="1">
      <c r="B186" s="332">
        <v>70421</v>
      </c>
      <c r="C186" s="144" t="s">
        <v>475</v>
      </c>
      <c r="D186" s="391" t="s">
        <v>476</v>
      </c>
      <c r="E186" s="391">
        <f>F186+G186+H186+I186+J186+K186</f>
        <v>660000</v>
      </c>
      <c r="F186" s="391"/>
      <c r="G186" s="391">
        <v>660000</v>
      </c>
      <c r="H186" s="391"/>
      <c r="I186" s="391"/>
      <c r="J186" s="391"/>
      <c r="K186" s="391"/>
      <c r="L186" s="487"/>
      <c r="M186" s="391">
        <f t="shared" si="16"/>
        <v>660000</v>
      </c>
      <c r="N186" s="391"/>
      <c r="O186" s="391"/>
      <c r="P186" s="391"/>
      <c r="Q186" s="391"/>
      <c r="R186" s="409">
        <v>112162619.26000001</v>
      </c>
      <c r="S186" s="409">
        <f t="shared" si="17"/>
        <v>111502619.26000001</v>
      </c>
      <c r="T186" s="567">
        <v>186</v>
      </c>
    </row>
    <row r="187" spans="2:20" s="427" customFormat="1" ht="20.100000000000001" customHeight="1">
      <c r="B187" s="332">
        <v>70421</v>
      </c>
      <c r="C187" s="144" t="s">
        <v>172</v>
      </c>
      <c r="D187" s="391" t="s">
        <v>173</v>
      </c>
      <c r="E187" s="391">
        <f>F187+G187+H187+I187+J187+K187</f>
        <v>25856303.5</v>
      </c>
      <c r="F187" s="391">
        <v>24416303.5</v>
      </c>
      <c r="G187" s="391">
        <v>1440000</v>
      </c>
      <c r="H187" s="391"/>
      <c r="I187" s="391"/>
      <c r="J187" s="391"/>
      <c r="K187" s="391"/>
      <c r="L187" s="487"/>
      <c r="M187" s="391">
        <f t="shared" si="16"/>
        <v>25856303.5</v>
      </c>
      <c r="N187" s="391"/>
      <c r="O187" s="391"/>
      <c r="P187" s="391"/>
      <c r="Q187" s="391"/>
      <c r="R187" s="409">
        <v>51835933.740000002</v>
      </c>
      <c r="S187" s="409">
        <f t="shared" si="17"/>
        <v>25979630.240000002</v>
      </c>
      <c r="T187" s="567">
        <v>187</v>
      </c>
    </row>
    <row r="188" spans="2:20" s="427" customFormat="1" ht="20.100000000000001" customHeight="1">
      <c r="B188" s="320"/>
      <c r="C188" s="311"/>
      <c r="D188" s="528" t="s">
        <v>1250</v>
      </c>
      <c r="E188" s="571">
        <f t="shared" ref="E188:S188" si="28">SUM(E183:E187)</f>
        <v>474077224.82999998</v>
      </c>
      <c r="F188" s="571">
        <f t="shared" si="28"/>
        <v>465374724.82999998</v>
      </c>
      <c r="G188" s="571">
        <f t="shared" si="28"/>
        <v>8702500</v>
      </c>
      <c r="H188" s="571">
        <f t="shared" si="28"/>
        <v>0</v>
      </c>
      <c r="I188" s="571">
        <f t="shared" si="28"/>
        <v>0</v>
      </c>
      <c r="J188" s="571">
        <f t="shared" si="28"/>
        <v>0</v>
      </c>
      <c r="K188" s="571">
        <f t="shared" si="28"/>
        <v>0</v>
      </c>
      <c r="L188" s="571">
        <f t="shared" si="28"/>
        <v>0</v>
      </c>
      <c r="M188" s="571">
        <f t="shared" si="28"/>
        <v>474077224.82999998</v>
      </c>
      <c r="N188" s="571"/>
      <c r="O188" s="571"/>
      <c r="P188" s="571"/>
      <c r="Q188" s="571"/>
      <c r="R188" s="571">
        <f t="shared" si="28"/>
        <v>1115967762.3799999</v>
      </c>
      <c r="S188" s="571">
        <f t="shared" si="28"/>
        <v>641890537.55000007</v>
      </c>
      <c r="T188" s="567">
        <v>188</v>
      </c>
    </row>
    <row r="189" spans="2:20" s="427" customFormat="1" ht="20.100000000000001" customHeight="1">
      <c r="B189" s="332">
        <v>70422</v>
      </c>
      <c r="C189" s="144" t="s">
        <v>1251</v>
      </c>
      <c r="D189" s="391" t="s">
        <v>1252</v>
      </c>
      <c r="E189" s="391">
        <f t="shared" ref="E189:E197" si="29">F189+G189+H189+I189+J189+K189</f>
        <v>0</v>
      </c>
      <c r="F189" s="391"/>
      <c r="G189" s="391"/>
      <c r="H189" s="391"/>
      <c r="I189" s="391"/>
      <c r="J189" s="391"/>
      <c r="K189" s="391"/>
      <c r="L189" s="487"/>
      <c r="M189" s="391">
        <f t="shared" si="16"/>
        <v>0</v>
      </c>
      <c r="N189" s="391"/>
      <c r="O189" s="391"/>
      <c r="P189" s="391"/>
      <c r="Q189" s="391"/>
      <c r="R189" s="409">
        <v>0</v>
      </c>
      <c r="S189" s="409">
        <f t="shared" si="17"/>
        <v>0</v>
      </c>
      <c r="T189" s="567">
        <v>189</v>
      </c>
    </row>
    <row r="190" spans="2:20" s="427" customFormat="1" ht="20.100000000000001" customHeight="1">
      <c r="B190" s="332">
        <v>70422</v>
      </c>
      <c r="C190" s="144" t="s">
        <v>166</v>
      </c>
      <c r="D190" s="391" t="s">
        <v>167</v>
      </c>
      <c r="E190" s="391">
        <f t="shared" si="29"/>
        <v>9092433.4000000004</v>
      </c>
      <c r="F190" s="391">
        <v>8432433.4000000004</v>
      </c>
      <c r="G190" s="391">
        <v>660000</v>
      </c>
      <c r="H190" s="391"/>
      <c r="I190" s="391"/>
      <c r="J190" s="391"/>
      <c r="K190" s="391"/>
      <c r="L190" s="487"/>
      <c r="M190" s="391">
        <f t="shared" si="16"/>
        <v>9092433.4000000004</v>
      </c>
      <c r="N190" s="391"/>
      <c r="O190" s="391"/>
      <c r="P190" s="391"/>
      <c r="Q190" s="391"/>
      <c r="R190" s="409">
        <v>42524212</v>
      </c>
      <c r="S190" s="409">
        <f t="shared" si="17"/>
        <v>33431778.600000001</v>
      </c>
      <c r="T190" s="567">
        <v>190</v>
      </c>
    </row>
    <row r="191" spans="2:20" s="427" customFormat="1" ht="20.100000000000001" customHeight="1">
      <c r="B191" s="332">
        <v>70422</v>
      </c>
      <c r="C191" s="144" t="s">
        <v>169</v>
      </c>
      <c r="D191" s="391" t="s">
        <v>170</v>
      </c>
      <c r="E191" s="391">
        <f t="shared" si="29"/>
        <v>178592859.28</v>
      </c>
      <c r="F191" s="391">
        <v>172457859.28</v>
      </c>
      <c r="G191" s="391">
        <v>6135000</v>
      </c>
      <c r="H191" s="391"/>
      <c r="I191" s="391"/>
      <c r="J191" s="391"/>
      <c r="K191" s="391"/>
      <c r="L191" s="487"/>
      <c r="M191" s="391">
        <f t="shared" si="16"/>
        <v>178592859.28</v>
      </c>
      <c r="N191" s="391"/>
      <c r="O191" s="391"/>
      <c r="P191" s="391"/>
      <c r="Q191" s="391"/>
      <c r="R191" s="409">
        <v>304409989.23000002</v>
      </c>
      <c r="S191" s="409">
        <f t="shared" si="17"/>
        <v>125817129.95000002</v>
      </c>
      <c r="T191" s="567">
        <v>191</v>
      </c>
    </row>
    <row r="192" spans="2:20" s="427" customFormat="1" ht="20.100000000000001" customHeight="1">
      <c r="B192" s="332">
        <v>70422</v>
      </c>
      <c r="C192" s="144" t="s">
        <v>478</v>
      </c>
      <c r="D192" s="391" t="s">
        <v>479</v>
      </c>
      <c r="E192" s="391">
        <f t="shared" si="29"/>
        <v>450000</v>
      </c>
      <c r="F192" s="391"/>
      <c r="G192" s="391">
        <v>450000</v>
      </c>
      <c r="H192" s="391"/>
      <c r="I192" s="391"/>
      <c r="J192" s="391"/>
      <c r="K192" s="391"/>
      <c r="L192" s="487"/>
      <c r="M192" s="391">
        <f t="shared" si="16"/>
        <v>450000</v>
      </c>
      <c r="N192" s="391"/>
      <c r="O192" s="391"/>
      <c r="P192" s="391"/>
      <c r="Q192" s="391"/>
      <c r="R192" s="409">
        <v>42680140</v>
      </c>
      <c r="S192" s="409">
        <f t="shared" si="17"/>
        <v>42230140</v>
      </c>
      <c r="T192" s="567">
        <v>192</v>
      </c>
    </row>
    <row r="193" spans="2:20" s="427" customFormat="1" ht="20.100000000000001" customHeight="1">
      <c r="B193" s="332">
        <v>70422</v>
      </c>
      <c r="C193" s="144" t="s">
        <v>1253</v>
      </c>
      <c r="D193" s="391" t="s">
        <v>842</v>
      </c>
      <c r="E193" s="391">
        <f t="shared" si="29"/>
        <v>0</v>
      </c>
      <c r="F193" s="391"/>
      <c r="G193" s="391"/>
      <c r="H193" s="391"/>
      <c r="I193" s="391"/>
      <c r="J193" s="391"/>
      <c r="K193" s="391"/>
      <c r="L193" s="487"/>
      <c r="M193" s="391">
        <f t="shared" si="16"/>
        <v>0</v>
      </c>
      <c r="N193" s="391"/>
      <c r="O193" s="391"/>
      <c r="P193" s="391"/>
      <c r="Q193" s="391"/>
      <c r="R193" s="409">
        <v>0</v>
      </c>
      <c r="S193" s="409">
        <f t="shared" si="17"/>
        <v>0</v>
      </c>
      <c r="T193" s="567">
        <v>193</v>
      </c>
    </row>
    <row r="194" spans="2:20" s="427" customFormat="1" ht="20.100000000000001" customHeight="1">
      <c r="B194" s="332">
        <v>70422</v>
      </c>
      <c r="C194" s="144" t="s">
        <v>481</v>
      </c>
      <c r="D194" s="391" t="s">
        <v>482</v>
      </c>
      <c r="E194" s="391">
        <f t="shared" si="29"/>
        <v>600000</v>
      </c>
      <c r="F194" s="391"/>
      <c r="G194" s="391">
        <v>600000</v>
      </c>
      <c r="H194" s="391"/>
      <c r="I194" s="391"/>
      <c r="J194" s="391"/>
      <c r="K194" s="391"/>
      <c r="L194" s="487"/>
      <c r="M194" s="391">
        <f t="shared" si="16"/>
        <v>600000</v>
      </c>
      <c r="N194" s="391"/>
      <c r="O194" s="391"/>
      <c r="P194" s="391"/>
      <c r="Q194" s="391"/>
      <c r="R194" s="409">
        <v>5653802.8799999999</v>
      </c>
      <c r="S194" s="409">
        <f t="shared" si="17"/>
        <v>5053802.88</v>
      </c>
      <c r="T194" s="567">
        <v>194</v>
      </c>
    </row>
    <row r="195" spans="2:20" s="427" customFormat="1" ht="20.100000000000001" customHeight="1">
      <c r="B195" s="332">
        <v>70422</v>
      </c>
      <c r="C195" s="144" t="s">
        <v>484</v>
      </c>
      <c r="D195" s="391" t="s">
        <v>485</v>
      </c>
      <c r="E195" s="391">
        <f t="shared" si="29"/>
        <v>352000</v>
      </c>
      <c r="F195" s="391"/>
      <c r="G195" s="391">
        <v>352000</v>
      </c>
      <c r="H195" s="391"/>
      <c r="I195" s="391"/>
      <c r="J195" s="391"/>
      <c r="K195" s="391"/>
      <c r="L195" s="487"/>
      <c r="M195" s="391">
        <f t="shared" si="16"/>
        <v>352000</v>
      </c>
      <c r="N195" s="391"/>
      <c r="O195" s="391"/>
      <c r="P195" s="391"/>
      <c r="Q195" s="391"/>
      <c r="R195" s="409">
        <v>7000000</v>
      </c>
      <c r="S195" s="409">
        <f t="shared" si="17"/>
        <v>6648000</v>
      </c>
      <c r="T195" s="567">
        <v>195</v>
      </c>
    </row>
    <row r="196" spans="2:20" s="427" customFormat="1" ht="20.100000000000001" customHeight="1">
      <c r="B196" s="332">
        <v>70422</v>
      </c>
      <c r="C196" s="144" t="s">
        <v>548</v>
      </c>
      <c r="D196" s="391" t="s">
        <v>200</v>
      </c>
      <c r="E196" s="391">
        <f t="shared" si="29"/>
        <v>1100000</v>
      </c>
      <c r="F196" s="391"/>
      <c r="G196" s="391">
        <v>1100000</v>
      </c>
      <c r="H196" s="391"/>
      <c r="I196" s="391"/>
      <c r="J196" s="391"/>
      <c r="K196" s="391"/>
      <c r="L196" s="487"/>
      <c r="M196" s="391">
        <f t="shared" si="16"/>
        <v>1100000</v>
      </c>
      <c r="N196" s="391"/>
      <c r="O196" s="391"/>
      <c r="P196" s="391"/>
      <c r="Q196" s="391"/>
      <c r="R196" s="409">
        <v>112327877.45</v>
      </c>
      <c r="S196" s="409">
        <f t="shared" si="17"/>
        <v>111227877.45</v>
      </c>
      <c r="T196" s="567">
        <v>196</v>
      </c>
    </row>
    <row r="197" spans="2:20" s="427" customFormat="1" ht="20.100000000000001" customHeight="1">
      <c r="B197" s="332">
        <v>70422</v>
      </c>
      <c r="C197" s="144" t="s">
        <v>549</v>
      </c>
      <c r="D197" s="391" t="s">
        <v>202</v>
      </c>
      <c r="E197" s="391">
        <f t="shared" si="29"/>
        <v>1100000</v>
      </c>
      <c r="F197" s="391"/>
      <c r="G197" s="391">
        <v>1100000</v>
      </c>
      <c r="H197" s="391"/>
      <c r="I197" s="391"/>
      <c r="J197" s="391"/>
      <c r="K197" s="391"/>
      <c r="L197" s="487"/>
      <c r="M197" s="391">
        <f t="shared" si="16"/>
        <v>1100000</v>
      </c>
      <c r="N197" s="391"/>
      <c r="O197" s="391"/>
      <c r="P197" s="391"/>
      <c r="Q197" s="391"/>
      <c r="R197" s="409">
        <v>3000000</v>
      </c>
      <c r="S197" s="409">
        <f t="shared" si="17"/>
        <v>1900000</v>
      </c>
      <c r="T197" s="567">
        <v>197</v>
      </c>
    </row>
    <row r="198" spans="2:20" s="427" customFormat="1" ht="20.100000000000001" customHeight="1">
      <c r="B198" s="320"/>
      <c r="C198" s="311"/>
      <c r="D198" s="528" t="s">
        <v>1254</v>
      </c>
      <c r="E198" s="571">
        <f t="shared" ref="E198:S198" si="30">SUM(E189:E197)</f>
        <v>191287292.68000001</v>
      </c>
      <c r="F198" s="571">
        <f t="shared" si="30"/>
        <v>180890292.68000001</v>
      </c>
      <c r="G198" s="571">
        <f t="shared" si="30"/>
        <v>10397000</v>
      </c>
      <c r="H198" s="571">
        <f t="shared" si="30"/>
        <v>0</v>
      </c>
      <c r="I198" s="571">
        <f t="shared" si="30"/>
        <v>0</v>
      </c>
      <c r="J198" s="571">
        <f t="shared" si="30"/>
        <v>0</v>
      </c>
      <c r="K198" s="571">
        <f t="shared" si="30"/>
        <v>0</v>
      </c>
      <c r="L198" s="571">
        <f t="shared" si="30"/>
        <v>0</v>
      </c>
      <c r="M198" s="571">
        <f t="shared" si="30"/>
        <v>191287292.68000001</v>
      </c>
      <c r="N198" s="571"/>
      <c r="O198" s="571"/>
      <c r="P198" s="571"/>
      <c r="Q198" s="571"/>
      <c r="R198" s="571">
        <f t="shared" si="30"/>
        <v>517596021.56</v>
      </c>
      <c r="S198" s="571">
        <f t="shared" si="30"/>
        <v>326308728.88</v>
      </c>
      <c r="T198" s="567">
        <v>198</v>
      </c>
    </row>
    <row r="199" spans="2:20" s="427" customFormat="1" ht="20.100000000000001" customHeight="1">
      <c r="B199" s="332">
        <v>70435</v>
      </c>
      <c r="C199" s="144"/>
      <c r="D199" s="391" t="s">
        <v>1255</v>
      </c>
      <c r="E199" s="391">
        <f>F199+G199+H199+I199+J199+K199</f>
        <v>0</v>
      </c>
      <c r="F199" s="391"/>
      <c r="G199" s="391"/>
      <c r="H199" s="391"/>
      <c r="I199" s="391"/>
      <c r="J199" s="391"/>
      <c r="K199" s="391"/>
      <c r="L199" s="487"/>
      <c r="M199" s="391">
        <f t="shared" si="16"/>
        <v>0</v>
      </c>
      <c r="N199" s="391"/>
      <c r="O199" s="391"/>
      <c r="P199" s="391"/>
      <c r="Q199" s="391"/>
      <c r="R199" s="409">
        <v>0</v>
      </c>
      <c r="S199" s="409">
        <f t="shared" si="17"/>
        <v>0</v>
      </c>
      <c r="T199" s="567">
        <v>199</v>
      </c>
    </row>
    <row r="200" spans="2:20" s="427" customFormat="1" ht="20.100000000000001" customHeight="1">
      <c r="B200" s="332">
        <v>70435</v>
      </c>
      <c r="C200" s="144" t="s">
        <v>196</v>
      </c>
      <c r="D200" s="391" t="s">
        <v>197</v>
      </c>
      <c r="E200" s="391">
        <f>F200+G200+H200+I200+J200+K200</f>
        <v>105418646.43000001</v>
      </c>
      <c r="F200" s="391">
        <v>70365578.430000007</v>
      </c>
      <c r="G200" s="391">
        <v>35053068</v>
      </c>
      <c r="H200" s="391"/>
      <c r="I200" s="391"/>
      <c r="J200" s="391"/>
      <c r="K200" s="391"/>
      <c r="L200" s="487">
        <v>219719510.87</v>
      </c>
      <c r="M200" s="391">
        <f t="shared" si="16"/>
        <v>325138157.30000001</v>
      </c>
      <c r="N200" s="391"/>
      <c r="O200" s="391"/>
      <c r="P200" s="391"/>
      <c r="Q200" s="391"/>
      <c r="R200" s="409">
        <v>322630338.68000001</v>
      </c>
      <c r="S200" s="409">
        <f t="shared" si="17"/>
        <v>-2507818.6200000048</v>
      </c>
      <c r="T200" s="567">
        <v>200</v>
      </c>
    </row>
    <row r="201" spans="2:20" s="427" customFormat="1" ht="20.100000000000001" customHeight="1">
      <c r="B201" s="320"/>
      <c r="C201" s="311"/>
      <c r="D201" s="528" t="s">
        <v>1256</v>
      </c>
      <c r="E201" s="571">
        <f t="shared" ref="E201:S201" si="31">SUM(E199:E200)</f>
        <v>105418646.43000001</v>
      </c>
      <c r="F201" s="571">
        <f t="shared" si="31"/>
        <v>70365578.430000007</v>
      </c>
      <c r="G201" s="571">
        <f t="shared" si="31"/>
        <v>35053068</v>
      </c>
      <c r="H201" s="571">
        <f t="shared" si="31"/>
        <v>0</v>
      </c>
      <c r="I201" s="571">
        <f t="shared" si="31"/>
        <v>0</v>
      </c>
      <c r="J201" s="571">
        <f t="shared" si="31"/>
        <v>0</v>
      </c>
      <c r="K201" s="571">
        <f t="shared" si="31"/>
        <v>0</v>
      </c>
      <c r="L201" s="571">
        <f t="shared" si="31"/>
        <v>219719510.87</v>
      </c>
      <c r="M201" s="571">
        <f t="shared" si="31"/>
        <v>325138157.30000001</v>
      </c>
      <c r="N201" s="571"/>
      <c r="O201" s="571"/>
      <c r="P201" s="571"/>
      <c r="Q201" s="571"/>
      <c r="R201" s="571">
        <f t="shared" si="31"/>
        <v>322630338.68000001</v>
      </c>
      <c r="S201" s="571">
        <f t="shared" si="31"/>
        <v>-2507818.6200000048</v>
      </c>
      <c r="T201" s="567">
        <v>201</v>
      </c>
    </row>
    <row r="202" spans="2:20" s="427" customFormat="1" ht="20.100000000000001" customHeight="1">
      <c r="B202" s="332">
        <v>70443</v>
      </c>
      <c r="C202" s="144" t="s">
        <v>204</v>
      </c>
      <c r="D202" s="391" t="s">
        <v>205</v>
      </c>
      <c r="E202" s="391">
        <f>F202+G202+H202+I202+J202+K202</f>
        <v>289742425.00999999</v>
      </c>
      <c r="F202" s="391">
        <v>286318425.00999999</v>
      </c>
      <c r="G202" s="391">
        <v>3424000</v>
      </c>
      <c r="H202" s="391"/>
      <c r="I202" s="391"/>
      <c r="J202" s="391"/>
      <c r="K202" s="391"/>
      <c r="L202" s="487">
        <v>6368878724.3999996</v>
      </c>
      <c r="M202" s="391">
        <f t="shared" si="16"/>
        <v>6658621149.4099998</v>
      </c>
      <c r="N202" s="391"/>
      <c r="O202" s="391"/>
      <c r="P202" s="391"/>
      <c r="Q202" s="391"/>
      <c r="R202" s="409">
        <v>13776558542.18</v>
      </c>
      <c r="S202" s="409">
        <f t="shared" si="17"/>
        <v>7117937392.7700005</v>
      </c>
      <c r="T202" s="567">
        <v>202</v>
      </c>
    </row>
    <row r="203" spans="2:20" s="427" customFormat="1" ht="20.100000000000001" customHeight="1">
      <c r="B203" s="332">
        <v>70443</v>
      </c>
      <c r="C203" s="144" t="s">
        <v>207</v>
      </c>
      <c r="D203" s="391" t="s">
        <v>208</v>
      </c>
      <c r="E203" s="391">
        <f>F203+G203+H203+I203+J203+K203</f>
        <v>26020963.550000001</v>
      </c>
      <c r="F203" s="391">
        <v>25360963.550000001</v>
      </c>
      <c r="G203" s="391">
        <v>660000</v>
      </c>
      <c r="H203" s="391"/>
      <c r="I203" s="391"/>
      <c r="J203" s="391"/>
      <c r="K203" s="391"/>
      <c r="L203" s="487">
        <v>1500000</v>
      </c>
      <c r="M203" s="391">
        <f t="shared" si="16"/>
        <v>27520963.550000001</v>
      </c>
      <c r="N203" s="391"/>
      <c r="O203" s="391"/>
      <c r="P203" s="391"/>
      <c r="Q203" s="391"/>
      <c r="R203" s="409">
        <v>85140950.040000007</v>
      </c>
      <c r="S203" s="409">
        <f t="shared" si="17"/>
        <v>57619986.49000001</v>
      </c>
      <c r="T203" s="567">
        <v>203</v>
      </c>
    </row>
    <row r="204" spans="2:20" s="427" customFormat="1" ht="22.5" customHeight="1">
      <c r="B204" s="332">
        <v>70443</v>
      </c>
      <c r="C204" s="144" t="s">
        <v>210</v>
      </c>
      <c r="D204" s="391" t="s">
        <v>211</v>
      </c>
      <c r="E204" s="391">
        <f>F204+G204+H204+I204+J204+K204</f>
        <v>23493898.600000001</v>
      </c>
      <c r="F204" s="391">
        <v>20133898.600000001</v>
      </c>
      <c r="G204" s="391">
        <v>3360000</v>
      </c>
      <c r="H204" s="391"/>
      <c r="I204" s="391"/>
      <c r="J204" s="391"/>
      <c r="K204" s="391"/>
      <c r="L204" s="487"/>
      <c r="M204" s="391">
        <f t="shared" si="16"/>
        <v>23493898.600000001</v>
      </c>
      <c r="N204" s="391"/>
      <c r="O204" s="391"/>
      <c r="P204" s="391"/>
      <c r="Q204" s="391"/>
      <c r="R204" s="409">
        <v>29466178.050000001</v>
      </c>
      <c r="S204" s="409">
        <f t="shared" si="17"/>
        <v>5972279.4499999993</v>
      </c>
      <c r="T204" s="567">
        <v>204</v>
      </c>
    </row>
    <row r="205" spans="2:20" s="427" customFormat="1" ht="20.100000000000001" customHeight="1">
      <c r="B205" s="332">
        <v>70443</v>
      </c>
      <c r="C205" s="144"/>
      <c r="D205" s="391" t="s">
        <v>1257</v>
      </c>
      <c r="E205" s="391">
        <f>F205+G205+H205+I205+J205+K205</f>
        <v>0</v>
      </c>
      <c r="F205" s="391"/>
      <c r="G205" s="391"/>
      <c r="H205" s="391"/>
      <c r="I205" s="391"/>
      <c r="J205" s="391"/>
      <c r="K205" s="391"/>
      <c r="L205" s="487"/>
      <c r="M205" s="391">
        <f t="shared" ref="M205:M273" si="32">L205+E205</f>
        <v>0</v>
      </c>
      <c r="N205" s="391"/>
      <c r="O205" s="391"/>
      <c r="P205" s="391"/>
      <c r="Q205" s="391"/>
      <c r="R205" s="409"/>
      <c r="S205" s="409">
        <f t="shared" ref="S205:S273" si="33">R205-M205</f>
        <v>0</v>
      </c>
      <c r="T205" s="567">
        <v>205</v>
      </c>
    </row>
    <row r="206" spans="2:20" s="427" customFormat="1" ht="20.100000000000001" customHeight="1">
      <c r="B206" s="320"/>
      <c r="C206" s="311"/>
      <c r="D206" s="528" t="s">
        <v>1258</v>
      </c>
      <c r="E206" s="571">
        <f t="shared" ref="E206:S206" si="34">SUM(E202:E205)</f>
        <v>339257287.16000003</v>
      </c>
      <c r="F206" s="571">
        <f t="shared" si="34"/>
        <v>331813287.16000003</v>
      </c>
      <c r="G206" s="571">
        <f t="shared" si="34"/>
        <v>7444000</v>
      </c>
      <c r="H206" s="571">
        <f t="shared" si="34"/>
        <v>0</v>
      </c>
      <c r="I206" s="571">
        <f t="shared" si="34"/>
        <v>0</v>
      </c>
      <c r="J206" s="571">
        <f t="shared" si="34"/>
        <v>0</v>
      </c>
      <c r="K206" s="571">
        <f t="shared" si="34"/>
        <v>0</v>
      </c>
      <c r="L206" s="571">
        <f t="shared" si="34"/>
        <v>6370378724.3999996</v>
      </c>
      <c r="M206" s="571">
        <f t="shared" si="34"/>
        <v>6709636011.5600004</v>
      </c>
      <c r="N206" s="571"/>
      <c r="O206" s="571"/>
      <c r="P206" s="571"/>
      <c r="Q206" s="571"/>
      <c r="R206" s="571">
        <f t="shared" si="34"/>
        <v>13891165670.27</v>
      </c>
      <c r="S206" s="571">
        <f t="shared" si="34"/>
        <v>7181529658.71</v>
      </c>
      <c r="T206" s="567">
        <v>206</v>
      </c>
    </row>
    <row r="207" spans="2:20" s="427" customFormat="1" ht="20.100000000000001" customHeight="1">
      <c r="B207" s="332">
        <v>70451</v>
      </c>
      <c r="C207" s="144"/>
      <c r="D207" s="391" t="s">
        <v>1259</v>
      </c>
      <c r="E207" s="391">
        <f>F207+G207+H207+I207+J207+K207</f>
        <v>0</v>
      </c>
      <c r="F207" s="391"/>
      <c r="G207" s="391"/>
      <c r="H207" s="391"/>
      <c r="I207" s="391"/>
      <c r="J207" s="391"/>
      <c r="K207" s="391"/>
      <c r="L207" s="487">
        <v>0</v>
      </c>
      <c r="M207" s="391">
        <f t="shared" si="32"/>
        <v>0</v>
      </c>
      <c r="N207" s="391"/>
      <c r="O207" s="391"/>
      <c r="P207" s="391"/>
      <c r="Q207" s="391"/>
      <c r="R207" s="409">
        <v>0</v>
      </c>
      <c r="S207" s="572">
        <f t="shared" si="33"/>
        <v>0</v>
      </c>
      <c r="T207" s="567">
        <v>207</v>
      </c>
    </row>
    <row r="208" spans="2:20" s="427" customFormat="1" ht="20.100000000000001" customHeight="1">
      <c r="B208" s="332">
        <v>70451</v>
      </c>
      <c r="C208" s="144" t="s">
        <v>543</v>
      </c>
      <c r="D208" s="391" t="s">
        <v>544</v>
      </c>
      <c r="E208" s="391">
        <f>F208+G208+H208+I208+J208+K208</f>
        <v>624000</v>
      </c>
      <c r="F208" s="391"/>
      <c r="G208" s="391">
        <v>624000</v>
      </c>
      <c r="H208" s="391"/>
      <c r="I208" s="391"/>
      <c r="J208" s="391"/>
      <c r="K208" s="391"/>
      <c r="L208" s="487"/>
      <c r="M208" s="391">
        <f t="shared" si="32"/>
        <v>624000</v>
      </c>
      <c r="N208" s="391"/>
      <c r="O208" s="391"/>
      <c r="P208" s="391"/>
      <c r="Q208" s="391"/>
      <c r="R208" s="409">
        <v>1466182.38</v>
      </c>
      <c r="S208" s="409">
        <f t="shared" si="33"/>
        <v>842182.37999999989</v>
      </c>
      <c r="T208" s="567">
        <v>208</v>
      </c>
    </row>
    <row r="209" spans="2:20" s="427" customFormat="1" ht="20.100000000000001" customHeight="1">
      <c r="B209" s="320"/>
      <c r="C209" s="311"/>
      <c r="D209" s="528" t="s">
        <v>1260</v>
      </c>
      <c r="E209" s="571">
        <f t="shared" ref="E209:S209" si="35">SUM(E207:E208)</f>
        <v>624000</v>
      </c>
      <c r="F209" s="571">
        <f t="shared" si="35"/>
        <v>0</v>
      </c>
      <c r="G209" s="571">
        <f t="shared" si="35"/>
        <v>624000</v>
      </c>
      <c r="H209" s="571">
        <f t="shared" si="35"/>
        <v>0</v>
      </c>
      <c r="I209" s="571">
        <f t="shared" si="35"/>
        <v>0</v>
      </c>
      <c r="J209" s="571">
        <f t="shared" si="35"/>
        <v>0</v>
      </c>
      <c r="K209" s="571">
        <f t="shared" si="35"/>
        <v>0</v>
      </c>
      <c r="L209" s="571">
        <f t="shared" si="35"/>
        <v>0</v>
      </c>
      <c r="M209" s="571">
        <f t="shared" si="35"/>
        <v>624000</v>
      </c>
      <c r="N209" s="571"/>
      <c r="O209" s="571"/>
      <c r="P209" s="571"/>
      <c r="Q209" s="571"/>
      <c r="R209" s="571">
        <f t="shared" si="35"/>
        <v>1466182.38</v>
      </c>
      <c r="S209" s="571">
        <f t="shared" si="35"/>
        <v>842182.37999999989</v>
      </c>
      <c r="T209" s="567">
        <v>209</v>
      </c>
    </row>
    <row r="210" spans="2:20" s="427" customFormat="1" ht="20.100000000000001" customHeight="1">
      <c r="B210" s="332">
        <v>70452</v>
      </c>
      <c r="C210" s="144" t="s">
        <v>546</v>
      </c>
      <c r="D210" s="391" t="s">
        <v>547</v>
      </c>
      <c r="E210" s="391">
        <f>F210+G210+H210+I210+J210+K210</f>
        <v>21975000</v>
      </c>
      <c r="F210" s="391"/>
      <c r="G210" s="391">
        <v>2400000</v>
      </c>
      <c r="H210" s="391">
        <v>19575000</v>
      </c>
      <c r="I210" s="391"/>
      <c r="J210" s="391"/>
      <c r="K210" s="391"/>
      <c r="L210" s="487"/>
      <c r="M210" s="391">
        <f t="shared" si="32"/>
        <v>21975000</v>
      </c>
      <c r="N210" s="391"/>
      <c r="O210" s="391"/>
      <c r="P210" s="391"/>
      <c r="Q210" s="391"/>
      <c r="R210" s="409">
        <v>48061521.149999999</v>
      </c>
      <c r="S210" s="409">
        <f t="shared" si="33"/>
        <v>26086521.149999999</v>
      </c>
      <c r="T210" s="567">
        <v>210</v>
      </c>
    </row>
    <row r="211" spans="2:20" s="427" customFormat="1" ht="20.100000000000001" customHeight="1">
      <c r="B211" s="320"/>
      <c r="C211" s="311"/>
      <c r="D211" s="528" t="s">
        <v>1261</v>
      </c>
      <c r="E211" s="571">
        <f t="shared" ref="E211:S211" si="36">E210</f>
        <v>21975000</v>
      </c>
      <c r="F211" s="571">
        <f t="shared" si="36"/>
        <v>0</v>
      </c>
      <c r="G211" s="571">
        <f t="shared" si="36"/>
        <v>2400000</v>
      </c>
      <c r="H211" s="571">
        <f t="shared" si="36"/>
        <v>19575000</v>
      </c>
      <c r="I211" s="571">
        <f t="shared" si="36"/>
        <v>0</v>
      </c>
      <c r="J211" s="571">
        <f t="shared" si="36"/>
        <v>0</v>
      </c>
      <c r="K211" s="571">
        <f t="shared" si="36"/>
        <v>0</v>
      </c>
      <c r="L211" s="571">
        <f t="shared" si="36"/>
        <v>0</v>
      </c>
      <c r="M211" s="571">
        <f t="shared" si="36"/>
        <v>21975000</v>
      </c>
      <c r="N211" s="571"/>
      <c r="O211" s="571"/>
      <c r="P211" s="571"/>
      <c r="Q211" s="571"/>
      <c r="R211" s="571">
        <f t="shared" si="36"/>
        <v>48061521.149999999</v>
      </c>
      <c r="S211" s="571">
        <f t="shared" si="36"/>
        <v>26086521.149999999</v>
      </c>
      <c r="T211" s="567">
        <v>211</v>
      </c>
    </row>
    <row r="212" spans="2:20" s="427" customFormat="1" ht="20.100000000000001" customHeight="1">
      <c r="B212" s="332">
        <v>70460</v>
      </c>
      <c r="C212" s="144" t="s">
        <v>138</v>
      </c>
      <c r="D212" s="391" t="s">
        <v>139</v>
      </c>
      <c r="E212" s="391">
        <f>F212+G212+H212+I212+J212+K212</f>
        <v>0</v>
      </c>
      <c r="F212" s="391"/>
      <c r="G212" s="391"/>
      <c r="H212" s="391"/>
      <c r="I212" s="391"/>
      <c r="J212" s="391"/>
      <c r="K212" s="391"/>
      <c r="L212" s="487"/>
      <c r="M212" s="391">
        <f t="shared" si="32"/>
        <v>0</v>
      </c>
      <c r="N212" s="391"/>
      <c r="O212" s="391"/>
      <c r="P212" s="391"/>
      <c r="Q212" s="391"/>
      <c r="R212" s="409"/>
      <c r="S212" s="409">
        <f t="shared" si="33"/>
        <v>0</v>
      </c>
      <c r="T212" s="567">
        <v>212</v>
      </c>
    </row>
    <row r="213" spans="2:20" s="427" customFormat="1" ht="23.25" customHeight="1">
      <c r="B213" s="332">
        <v>70460</v>
      </c>
      <c r="C213" s="144" t="s">
        <v>413</v>
      </c>
      <c r="D213" s="391" t="s">
        <v>414</v>
      </c>
      <c r="E213" s="391">
        <f>F213+G213+H213+I213+J213+K213</f>
        <v>120199024.18000001</v>
      </c>
      <c r="F213" s="391">
        <v>110119024.18000001</v>
      </c>
      <c r="G213" s="391">
        <v>4800000</v>
      </c>
      <c r="H213" s="391"/>
      <c r="I213" s="391">
        <v>5280000</v>
      </c>
      <c r="J213" s="391"/>
      <c r="K213" s="391"/>
      <c r="L213" s="487"/>
      <c r="M213" s="391">
        <f t="shared" si="32"/>
        <v>120199024.18000001</v>
      </c>
      <c r="N213" s="391"/>
      <c r="O213" s="391"/>
      <c r="P213" s="391"/>
      <c r="Q213" s="391"/>
      <c r="R213" s="409">
        <v>412009965.12</v>
      </c>
      <c r="S213" s="409">
        <f t="shared" si="33"/>
        <v>291810940.94</v>
      </c>
      <c r="T213" s="567">
        <v>213</v>
      </c>
    </row>
    <row r="214" spans="2:20" s="427" customFormat="1" ht="20.100000000000001" customHeight="1">
      <c r="B214" s="332">
        <v>70460</v>
      </c>
      <c r="C214" s="144" t="s">
        <v>141</v>
      </c>
      <c r="D214" s="391" t="s">
        <v>142</v>
      </c>
      <c r="E214" s="391">
        <f>F214+G214+H214+I214+J214+K214</f>
        <v>234114291.26999998</v>
      </c>
      <c r="F214" s="391">
        <v>193352251.78999999</v>
      </c>
      <c r="G214" s="391">
        <v>40762039.479999997</v>
      </c>
      <c r="H214" s="391"/>
      <c r="I214" s="391"/>
      <c r="J214" s="391"/>
      <c r="K214" s="391"/>
      <c r="L214" s="487"/>
      <c r="M214" s="391">
        <f t="shared" si="32"/>
        <v>234114291.26999998</v>
      </c>
      <c r="N214" s="391"/>
      <c r="O214" s="391"/>
      <c r="P214" s="391"/>
      <c r="Q214" s="391"/>
      <c r="R214" s="409">
        <v>341112495.31999999</v>
      </c>
      <c r="S214" s="409">
        <f t="shared" si="33"/>
        <v>106998204.05000001</v>
      </c>
      <c r="T214" s="567">
        <v>214</v>
      </c>
    </row>
    <row r="215" spans="2:20" s="427" customFormat="1" ht="20.100000000000001" customHeight="1">
      <c r="B215" s="332">
        <v>70460</v>
      </c>
      <c r="C215" s="144" t="s">
        <v>539</v>
      </c>
      <c r="D215" s="391" t="s">
        <v>540</v>
      </c>
      <c r="E215" s="391">
        <f>F215+G215+H215+I215+J215+K215</f>
        <v>2030400</v>
      </c>
      <c r="F215" s="391"/>
      <c r="G215" s="391">
        <v>2030400</v>
      </c>
      <c r="H215" s="391"/>
      <c r="I215" s="391"/>
      <c r="J215" s="391"/>
      <c r="K215" s="391"/>
      <c r="L215" s="487"/>
      <c r="M215" s="391">
        <f t="shared" si="32"/>
        <v>2030400</v>
      </c>
      <c r="N215" s="391"/>
      <c r="O215" s="391"/>
      <c r="P215" s="391"/>
      <c r="Q215" s="391"/>
      <c r="R215" s="409">
        <v>144000000</v>
      </c>
      <c r="S215" s="409">
        <f t="shared" si="33"/>
        <v>141969600</v>
      </c>
      <c r="T215" s="567">
        <v>215</v>
      </c>
    </row>
    <row r="216" spans="2:20" s="427" customFormat="1" ht="20.100000000000001" customHeight="1">
      <c r="B216" s="332">
        <v>70460</v>
      </c>
      <c r="C216" s="144" t="s">
        <v>782</v>
      </c>
      <c r="D216" s="391" t="s">
        <v>1262</v>
      </c>
      <c r="E216" s="391">
        <f>F216+G216+H216+I216+J216+K216</f>
        <v>6000000</v>
      </c>
      <c r="F216" s="391"/>
      <c r="G216" s="391"/>
      <c r="H216" s="391">
        <v>6000000</v>
      </c>
      <c r="I216" s="391"/>
      <c r="J216" s="391"/>
      <c r="K216" s="391"/>
      <c r="L216" s="487"/>
      <c r="M216" s="391">
        <f t="shared" si="32"/>
        <v>6000000</v>
      </c>
      <c r="N216" s="391"/>
      <c r="O216" s="391"/>
      <c r="P216" s="391"/>
      <c r="Q216" s="391"/>
      <c r="R216" s="409">
        <v>8656521.6400000006</v>
      </c>
      <c r="S216" s="409">
        <f t="shared" si="33"/>
        <v>2656521.6400000006</v>
      </c>
      <c r="T216" s="567">
        <v>216</v>
      </c>
    </row>
    <row r="217" spans="2:20" s="427" customFormat="1" ht="20.100000000000001" customHeight="1">
      <c r="B217" s="320"/>
      <c r="C217" s="311"/>
      <c r="D217" s="528" t="s">
        <v>1263</v>
      </c>
      <c r="E217" s="571">
        <f t="shared" ref="E217:M217" si="37">SUM(E212:E216)</f>
        <v>362343715.44999999</v>
      </c>
      <c r="F217" s="571">
        <f t="shared" si="37"/>
        <v>303471275.97000003</v>
      </c>
      <c r="G217" s="571">
        <f t="shared" si="37"/>
        <v>47592439.479999997</v>
      </c>
      <c r="H217" s="571">
        <f t="shared" si="37"/>
        <v>6000000</v>
      </c>
      <c r="I217" s="571">
        <f t="shared" si="37"/>
        <v>5280000</v>
      </c>
      <c r="J217" s="571">
        <f t="shared" si="37"/>
        <v>0</v>
      </c>
      <c r="K217" s="571">
        <f t="shared" si="37"/>
        <v>0</v>
      </c>
      <c r="L217" s="571">
        <f t="shared" si="37"/>
        <v>0</v>
      </c>
      <c r="M217" s="571">
        <f t="shared" si="37"/>
        <v>362343715.44999999</v>
      </c>
      <c r="N217" s="571"/>
      <c r="O217" s="571"/>
      <c r="P217" s="571"/>
      <c r="Q217" s="571"/>
      <c r="R217" s="571">
        <f>SUM(R212:R216)</f>
        <v>905778982.08000004</v>
      </c>
      <c r="S217" s="571">
        <f>SUM(S212:S216)</f>
        <v>543435266.63</v>
      </c>
      <c r="T217" s="567">
        <v>217</v>
      </c>
    </row>
    <row r="218" spans="2:20" s="427" customFormat="1" ht="20.100000000000001" customHeight="1">
      <c r="B218" s="320"/>
      <c r="C218" s="311"/>
      <c r="D218" s="528" t="s">
        <v>335</v>
      </c>
      <c r="E218" s="571">
        <f t="shared" ref="E218:M218" si="38">E217+E211+E209+E206+E201+E198+E188+E182+E179</f>
        <v>1912611588.8399999</v>
      </c>
      <c r="F218" s="571">
        <f t="shared" si="38"/>
        <v>1658473740.4300003</v>
      </c>
      <c r="G218" s="571">
        <f t="shared" si="38"/>
        <v>141620507.47999999</v>
      </c>
      <c r="H218" s="571">
        <f t="shared" si="38"/>
        <v>107237340.93000001</v>
      </c>
      <c r="I218" s="571">
        <f t="shared" si="38"/>
        <v>5280000</v>
      </c>
      <c r="J218" s="571">
        <f t="shared" si="38"/>
        <v>0</v>
      </c>
      <c r="K218" s="571">
        <f t="shared" si="38"/>
        <v>0</v>
      </c>
      <c r="L218" s="571">
        <f t="shared" si="38"/>
        <v>7378398764.0699997</v>
      </c>
      <c r="M218" s="571">
        <f t="shared" si="38"/>
        <v>9291010352.9099998</v>
      </c>
      <c r="N218" s="571"/>
      <c r="O218" s="571"/>
      <c r="P218" s="571"/>
      <c r="Q218" s="571"/>
      <c r="R218" s="571">
        <f>R217+R211+R209+R206+R201+R198+R188+R182+R179</f>
        <v>21065649291</v>
      </c>
      <c r="S218" s="571">
        <f>S217+S211+S209+S206+S201+S198+S188+S182+S179</f>
        <v>11774638938.090002</v>
      </c>
      <c r="T218" s="567">
        <v>218</v>
      </c>
    </row>
    <row r="219" spans="2:20" s="427" customFormat="1" ht="20.100000000000001" customHeight="1">
      <c r="B219" s="332"/>
      <c r="C219" s="144"/>
      <c r="D219" s="528" t="s">
        <v>1264</v>
      </c>
      <c r="E219" s="391">
        <f>F219+G219+H219+I219+J219+K219</f>
        <v>0</v>
      </c>
      <c r="F219" s="391"/>
      <c r="G219" s="391"/>
      <c r="H219" s="391"/>
      <c r="I219" s="391"/>
      <c r="J219" s="391"/>
      <c r="K219" s="391"/>
      <c r="L219" s="487"/>
      <c r="M219" s="391">
        <f t="shared" si="32"/>
        <v>0</v>
      </c>
      <c r="N219" s="391"/>
      <c r="O219" s="391"/>
      <c r="P219" s="391"/>
      <c r="Q219" s="391"/>
      <c r="R219" s="409"/>
      <c r="S219" s="409">
        <f t="shared" si="33"/>
        <v>0</v>
      </c>
      <c r="T219" s="567">
        <v>219</v>
      </c>
    </row>
    <row r="220" spans="2:20" s="427" customFormat="1" ht="20.100000000000001" customHeight="1">
      <c r="B220" s="332">
        <v>70510</v>
      </c>
      <c r="C220" s="144" t="s">
        <v>318</v>
      </c>
      <c r="D220" s="391" t="s">
        <v>319</v>
      </c>
      <c r="E220" s="391">
        <f>F220+G220+H220+I220+J220+K220</f>
        <v>141694082.34</v>
      </c>
      <c r="F220" s="391">
        <v>21956915.59</v>
      </c>
      <c r="G220" s="391">
        <v>3791666.75</v>
      </c>
      <c r="H220" s="391">
        <v>115945500</v>
      </c>
      <c r="I220" s="391"/>
      <c r="J220" s="391"/>
      <c r="K220" s="391"/>
      <c r="L220" s="487"/>
      <c r="M220" s="391">
        <f t="shared" si="32"/>
        <v>141694082.34</v>
      </c>
      <c r="N220" s="391"/>
      <c r="O220" s="391"/>
      <c r="P220" s="391"/>
      <c r="Q220" s="391"/>
      <c r="R220" s="409">
        <v>204461578.47999999</v>
      </c>
      <c r="S220" s="409">
        <f t="shared" si="33"/>
        <v>62767496.139999986</v>
      </c>
      <c r="T220" s="567">
        <v>220</v>
      </c>
    </row>
    <row r="221" spans="2:20" s="427" customFormat="1" ht="20.100000000000001" customHeight="1">
      <c r="B221" s="332">
        <v>70510</v>
      </c>
      <c r="C221" s="144" t="s">
        <v>604</v>
      </c>
      <c r="D221" s="391" t="s">
        <v>605</v>
      </c>
      <c r="E221" s="391">
        <f>F221+G221+H221+I221+J221+K221</f>
        <v>3850000</v>
      </c>
      <c r="F221" s="391"/>
      <c r="G221" s="391">
        <v>3850000</v>
      </c>
      <c r="H221" s="391"/>
      <c r="I221" s="391"/>
      <c r="J221" s="391"/>
      <c r="K221" s="391"/>
      <c r="L221" s="487"/>
      <c r="M221" s="391">
        <f t="shared" si="32"/>
        <v>3850000</v>
      </c>
      <c r="N221" s="391"/>
      <c r="O221" s="391"/>
      <c r="P221" s="391"/>
      <c r="Q221" s="391"/>
      <c r="R221" s="409">
        <v>5803380.3399999999</v>
      </c>
      <c r="S221" s="409">
        <f t="shared" si="33"/>
        <v>1953380.3399999999</v>
      </c>
      <c r="T221" s="567">
        <v>221</v>
      </c>
    </row>
    <row r="222" spans="2:20" s="427" customFormat="1" ht="20.100000000000001" customHeight="1">
      <c r="B222" s="320"/>
      <c r="C222" s="311"/>
      <c r="D222" s="528" t="s">
        <v>1265</v>
      </c>
      <c r="E222" s="571">
        <f t="shared" ref="E222:M222" si="39">SUM(E220:E221)</f>
        <v>145544082.34</v>
      </c>
      <c r="F222" s="571">
        <f t="shared" si="39"/>
        <v>21956915.59</v>
      </c>
      <c r="G222" s="571">
        <f t="shared" si="39"/>
        <v>7641666.75</v>
      </c>
      <c r="H222" s="571">
        <f t="shared" si="39"/>
        <v>115945500</v>
      </c>
      <c r="I222" s="571">
        <f t="shared" si="39"/>
        <v>0</v>
      </c>
      <c r="J222" s="571">
        <f t="shared" si="39"/>
        <v>0</v>
      </c>
      <c r="K222" s="571">
        <f t="shared" si="39"/>
        <v>0</v>
      </c>
      <c r="L222" s="571">
        <f t="shared" si="39"/>
        <v>0</v>
      </c>
      <c r="M222" s="571">
        <f t="shared" si="39"/>
        <v>145544082.34</v>
      </c>
      <c r="N222" s="571"/>
      <c r="O222" s="571"/>
      <c r="P222" s="571"/>
      <c r="Q222" s="571"/>
      <c r="R222" s="571">
        <f>SUM(R220:R221)</f>
        <v>210264958.81999999</v>
      </c>
      <c r="S222" s="571">
        <f>SUM(S220:S221)</f>
        <v>64720876.479999989</v>
      </c>
      <c r="T222" s="567">
        <v>222</v>
      </c>
    </row>
    <row r="223" spans="2:20" s="427" customFormat="1" ht="20.100000000000001" customHeight="1">
      <c r="B223" s="332">
        <v>70560</v>
      </c>
      <c r="C223" s="144" t="s">
        <v>312</v>
      </c>
      <c r="D223" s="391" t="s">
        <v>313</v>
      </c>
      <c r="E223" s="391">
        <f>F223+G223+H223+I223+J223+K223</f>
        <v>187038924.81</v>
      </c>
      <c r="F223" s="391">
        <v>163022924.81</v>
      </c>
      <c r="G223" s="391">
        <v>4966000</v>
      </c>
      <c r="H223" s="391">
        <v>19050000</v>
      </c>
      <c r="I223" s="391"/>
      <c r="J223" s="391"/>
      <c r="K223" s="391"/>
      <c r="L223" s="487"/>
      <c r="M223" s="391">
        <f t="shared" si="32"/>
        <v>187038924.81</v>
      </c>
      <c r="N223" s="391"/>
      <c r="O223" s="391"/>
      <c r="P223" s="391"/>
      <c r="Q223" s="391"/>
      <c r="R223" s="409">
        <v>207011280.09999999</v>
      </c>
      <c r="S223" s="409">
        <f t="shared" si="33"/>
        <v>19972355.289999992</v>
      </c>
      <c r="T223" s="567">
        <v>223</v>
      </c>
    </row>
    <row r="224" spans="2:20" s="427" customFormat="1" ht="20.100000000000001" customHeight="1">
      <c r="B224" s="332">
        <v>70560</v>
      </c>
      <c r="C224" s="144" t="s">
        <v>315</v>
      </c>
      <c r="D224" s="391" t="s">
        <v>316</v>
      </c>
      <c r="E224" s="391">
        <f>F224+G224+H224+I224+J224+K224</f>
        <v>17962872.059999999</v>
      </c>
      <c r="F224" s="391">
        <v>17302872.059999999</v>
      </c>
      <c r="G224" s="391">
        <v>660000</v>
      </c>
      <c r="H224" s="391"/>
      <c r="I224" s="391"/>
      <c r="J224" s="391"/>
      <c r="K224" s="391"/>
      <c r="L224" s="487">
        <v>59403907.68</v>
      </c>
      <c r="M224" s="391">
        <f t="shared" si="32"/>
        <v>77366779.739999995</v>
      </c>
      <c r="N224" s="391"/>
      <c r="O224" s="391"/>
      <c r="P224" s="391"/>
      <c r="Q224" s="391"/>
      <c r="R224" s="409">
        <v>529283132.27999997</v>
      </c>
      <c r="S224" s="409">
        <f t="shared" si="33"/>
        <v>451916352.53999996</v>
      </c>
      <c r="T224" s="567">
        <v>224</v>
      </c>
    </row>
    <row r="225" spans="2:20" s="427" customFormat="1" ht="20.100000000000001" customHeight="1">
      <c r="B225" s="320"/>
      <c r="C225" s="311"/>
      <c r="D225" s="528" t="s">
        <v>1266</v>
      </c>
      <c r="E225" s="571">
        <f t="shared" ref="E225:M225" si="40">SUM(E223:E224)</f>
        <v>205001796.87</v>
      </c>
      <c r="F225" s="571">
        <f t="shared" si="40"/>
        <v>180325796.87</v>
      </c>
      <c r="G225" s="571">
        <f t="shared" si="40"/>
        <v>5626000</v>
      </c>
      <c r="H225" s="571">
        <f t="shared" si="40"/>
        <v>19050000</v>
      </c>
      <c r="I225" s="571">
        <f t="shared" si="40"/>
        <v>0</v>
      </c>
      <c r="J225" s="571">
        <f t="shared" si="40"/>
        <v>0</v>
      </c>
      <c r="K225" s="571">
        <f t="shared" si="40"/>
        <v>0</v>
      </c>
      <c r="L225" s="571">
        <f t="shared" si="40"/>
        <v>59403907.68</v>
      </c>
      <c r="M225" s="571">
        <f t="shared" si="40"/>
        <v>264405704.55000001</v>
      </c>
      <c r="N225" s="571"/>
      <c r="O225" s="571"/>
      <c r="P225" s="571"/>
      <c r="Q225" s="571"/>
      <c r="R225" s="571">
        <f>SUM(R223:R224)</f>
        <v>736294412.38</v>
      </c>
      <c r="S225" s="571">
        <f>SUM(S223:S224)</f>
        <v>471888707.82999992</v>
      </c>
      <c r="T225" s="567">
        <v>225</v>
      </c>
    </row>
    <row r="226" spans="2:20" s="427" customFormat="1" ht="20.100000000000001" customHeight="1">
      <c r="B226" s="320"/>
      <c r="C226" s="311"/>
      <c r="D226" s="528" t="s">
        <v>335</v>
      </c>
      <c r="E226" s="571">
        <f t="shared" ref="E226:M226" si="41">E225+E222</f>
        <v>350545879.21000004</v>
      </c>
      <c r="F226" s="571">
        <f t="shared" si="41"/>
        <v>202282712.46000001</v>
      </c>
      <c r="G226" s="571">
        <f t="shared" si="41"/>
        <v>13267666.75</v>
      </c>
      <c r="H226" s="571">
        <f t="shared" si="41"/>
        <v>134995500</v>
      </c>
      <c r="I226" s="571">
        <f t="shared" si="41"/>
        <v>0</v>
      </c>
      <c r="J226" s="571">
        <f t="shared" si="41"/>
        <v>0</v>
      </c>
      <c r="K226" s="571">
        <f t="shared" si="41"/>
        <v>0</v>
      </c>
      <c r="L226" s="571">
        <f t="shared" si="41"/>
        <v>59403907.68</v>
      </c>
      <c r="M226" s="571">
        <f t="shared" si="41"/>
        <v>409949786.88999999</v>
      </c>
      <c r="N226" s="571"/>
      <c r="O226" s="571"/>
      <c r="P226" s="571"/>
      <c r="Q226" s="571"/>
      <c r="R226" s="571">
        <f>R225+R222</f>
        <v>946559371.20000005</v>
      </c>
      <c r="S226" s="571">
        <f>S225+S222</f>
        <v>536609584.30999994</v>
      </c>
      <c r="T226" s="567">
        <v>226</v>
      </c>
    </row>
    <row r="227" spans="2:20" s="427" customFormat="1" ht="20.100000000000001" customHeight="1">
      <c r="B227" s="332"/>
      <c r="C227" s="144"/>
      <c r="D227" s="528" t="s">
        <v>1267</v>
      </c>
      <c r="E227" s="391">
        <f t="shared" ref="E227:E233" si="42">F227+G227+H227+I227+J227+K227</f>
        <v>0</v>
      </c>
      <c r="F227" s="391"/>
      <c r="G227" s="391"/>
      <c r="H227" s="391"/>
      <c r="I227" s="391"/>
      <c r="J227" s="391"/>
      <c r="K227" s="391"/>
      <c r="L227" s="487"/>
      <c r="M227" s="391">
        <f t="shared" si="32"/>
        <v>0</v>
      </c>
      <c r="N227" s="391"/>
      <c r="O227" s="391"/>
      <c r="P227" s="391"/>
      <c r="Q227" s="391"/>
      <c r="R227" s="409"/>
      <c r="S227" s="409">
        <f t="shared" si="33"/>
        <v>0</v>
      </c>
      <c r="T227" s="567">
        <v>227</v>
      </c>
    </row>
    <row r="228" spans="2:20" s="427" customFormat="1" ht="20.100000000000001" customHeight="1">
      <c r="B228" s="332">
        <v>70610</v>
      </c>
      <c r="C228" s="144" t="s">
        <v>228</v>
      </c>
      <c r="D228" s="391" t="s">
        <v>229</v>
      </c>
      <c r="E228" s="391">
        <f t="shared" si="42"/>
        <v>114405088.51000001</v>
      </c>
      <c r="F228" s="391">
        <v>96885088.510000005</v>
      </c>
      <c r="G228" s="391">
        <v>4320000</v>
      </c>
      <c r="H228" s="391">
        <v>13200000</v>
      </c>
      <c r="I228" s="391"/>
      <c r="J228" s="391"/>
      <c r="K228" s="391"/>
      <c r="L228" s="487">
        <v>92617837.840000004</v>
      </c>
      <c r="M228" s="391">
        <f t="shared" si="32"/>
        <v>207022926.35000002</v>
      </c>
      <c r="N228" s="391"/>
      <c r="O228" s="391"/>
      <c r="P228" s="391"/>
      <c r="Q228" s="391"/>
      <c r="R228" s="409">
        <v>361682503.29000002</v>
      </c>
      <c r="S228" s="409">
        <f t="shared" si="33"/>
        <v>154659576.94</v>
      </c>
      <c r="T228" s="567">
        <v>228</v>
      </c>
    </row>
    <row r="229" spans="2:20" s="427" customFormat="1" ht="20.100000000000001" customHeight="1">
      <c r="B229" s="332">
        <v>70610</v>
      </c>
      <c r="C229" s="144" t="s">
        <v>231</v>
      </c>
      <c r="D229" s="391" t="s">
        <v>232</v>
      </c>
      <c r="E229" s="391">
        <f t="shared" si="42"/>
        <v>86792323.230000004</v>
      </c>
      <c r="F229" s="391">
        <v>85246621.230000004</v>
      </c>
      <c r="G229" s="391">
        <v>1545702</v>
      </c>
      <c r="H229" s="391"/>
      <c r="I229" s="391"/>
      <c r="J229" s="391"/>
      <c r="K229" s="391"/>
      <c r="L229" s="487"/>
      <c r="M229" s="391">
        <f t="shared" si="32"/>
        <v>86792323.230000004</v>
      </c>
      <c r="N229" s="391"/>
      <c r="O229" s="391"/>
      <c r="P229" s="391"/>
      <c r="Q229" s="391"/>
      <c r="R229" s="409">
        <v>270933379.45999998</v>
      </c>
      <c r="S229" s="409">
        <f t="shared" si="33"/>
        <v>184141056.22999996</v>
      </c>
      <c r="T229" s="567">
        <v>229</v>
      </c>
    </row>
    <row r="230" spans="2:20" s="427" customFormat="1" ht="20.100000000000001" customHeight="1">
      <c r="B230" s="332">
        <v>70610</v>
      </c>
      <c r="C230" s="144" t="s">
        <v>234</v>
      </c>
      <c r="D230" s="391" t="s">
        <v>235</v>
      </c>
      <c r="E230" s="391">
        <f t="shared" si="42"/>
        <v>720000</v>
      </c>
      <c r="F230" s="391"/>
      <c r="G230" s="391">
        <v>720000</v>
      </c>
      <c r="H230" s="391"/>
      <c r="I230" s="391"/>
      <c r="J230" s="391"/>
      <c r="K230" s="391"/>
      <c r="L230" s="487"/>
      <c r="M230" s="391">
        <f t="shared" si="32"/>
        <v>720000</v>
      </c>
      <c r="N230" s="391"/>
      <c r="O230" s="391"/>
      <c r="P230" s="391"/>
      <c r="Q230" s="391"/>
      <c r="R230" s="409">
        <v>2000000</v>
      </c>
      <c r="S230" s="409">
        <f t="shared" si="33"/>
        <v>1280000</v>
      </c>
      <c r="T230" s="567">
        <v>230</v>
      </c>
    </row>
    <row r="231" spans="2:20" s="427" customFormat="1" ht="20.100000000000001" customHeight="1">
      <c r="B231" s="332">
        <v>70610</v>
      </c>
      <c r="C231" s="144"/>
      <c r="D231" s="391" t="s">
        <v>1268</v>
      </c>
      <c r="E231" s="391">
        <f t="shared" si="42"/>
        <v>0</v>
      </c>
      <c r="F231" s="391"/>
      <c r="G231" s="391"/>
      <c r="H231" s="391"/>
      <c r="I231" s="391"/>
      <c r="J231" s="391"/>
      <c r="K231" s="391"/>
      <c r="L231" s="487"/>
      <c r="M231" s="391">
        <f t="shared" si="32"/>
        <v>0</v>
      </c>
      <c r="N231" s="391"/>
      <c r="O231" s="391"/>
      <c r="P231" s="391"/>
      <c r="Q231" s="391"/>
      <c r="R231" s="409">
        <v>0</v>
      </c>
      <c r="S231" s="409">
        <f t="shared" si="33"/>
        <v>0</v>
      </c>
      <c r="T231" s="567">
        <v>231</v>
      </c>
    </row>
    <row r="232" spans="2:20" s="427" customFormat="1" ht="20.100000000000001" customHeight="1">
      <c r="B232" s="332">
        <v>70610</v>
      </c>
      <c r="C232" s="144" t="s">
        <v>1506</v>
      </c>
      <c r="D232" s="391" t="s">
        <v>2017</v>
      </c>
      <c r="E232" s="391">
        <v>600000</v>
      </c>
      <c r="F232" s="391"/>
      <c r="G232" s="391">
        <v>600000</v>
      </c>
      <c r="H232" s="391"/>
      <c r="I232" s="391"/>
      <c r="J232" s="391"/>
      <c r="K232" s="391"/>
      <c r="L232" s="487"/>
      <c r="M232" s="391">
        <f t="shared" si="32"/>
        <v>600000</v>
      </c>
      <c r="N232" s="391"/>
      <c r="O232" s="391"/>
      <c r="P232" s="391"/>
      <c r="Q232" s="391"/>
      <c r="R232" s="409">
        <v>2000000</v>
      </c>
      <c r="S232" s="409">
        <f t="shared" si="33"/>
        <v>1400000</v>
      </c>
      <c r="T232" s="567">
        <v>232</v>
      </c>
    </row>
    <row r="233" spans="2:20" s="427" customFormat="1" ht="20.100000000000001" customHeight="1">
      <c r="B233" s="332">
        <v>70610</v>
      </c>
      <c r="C233" s="144" t="s">
        <v>1269</v>
      </c>
      <c r="D233" s="391" t="s">
        <v>836</v>
      </c>
      <c r="E233" s="391">
        <f t="shared" si="42"/>
        <v>0</v>
      </c>
      <c r="F233" s="391"/>
      <c r="G233" s="391"/>
      <c r="H233" s="391"/>
      <c r="I233" s="391"/>
      <c r="J233" s="391"/>
      <c r="K233" s="391"/>
      <c r="L233" s="487"/>
      <c r="M233" s="391">
        <f t="shared" si="32"/>
        <v>0</v>
      </c>
      <c r="N233" s="391"/>
      <c r="O233" s="391"/>
      <c r="P233" s="391"/>
      <c r="Q233" s="391"/>
      <c r="R233" s="409">
        <v>0</v>
      </c>
      <c r="S233" s="409">
        <f t="shared" si="33"/>
        <v>0</v>
      </c>
      <c r="T233" s="567">
        <v>233</v>
      </c>
    </row>
    <row r="234" spans="2:20" s="427" customFormat="1" ht="20.100000000000001" customHeight="1">
      <c r="B234" s="320"/>
      <c r="C234" s="311"/>
      <c r="D234" s="528" t="s">
        <v>1270</v>
      </c>
      <c r="E234" s="571">
        <f t="shared" ref="E234:M234" si="43">SUM(E228:E233)</f>
        <v>202517411.74000001</v>
      </c>
      <c r="F234" s="571">
        <f t="shared" si="43"/>
        <v>182131709.74000001</v>
      </c>
      <c r="G234" s="571">
        <f t="shared" si="43"/>
        <v>7185702</v>
      </c>
      <c r="H234" s="571">
        <f t="shared" si="43"/>
        <v>13200000</v>
      </c>
      <c r="I234" s="571">
        <f t="shared" si="43"/>
        <v>0</v>
      </c>
      <c r="J234" s="571">
        <f t="shared" si="43"/>
        <v>0</v>
      </c>
      <c r="K234" s="571">
        <f t="shared" si="43"/>
        <v>0</v>
      </c>
      <c r="L234" s="571">
        <f t="shared" si="43"/>
        <v>92617837.840000004</v>
      </c>
      <c r="M234" s="571">
        <f t="shared" si="43"/>
        <v>295135249.58000004</v>
      </c>
      <c r="N234" s="571"/>
      <c r="O234" s="571"/>
      <c r="P234" s="571"/>
      <c r="Q234" s="571"/>
      <c r="R234" s="571">
        <f>SUM(R228:R233)</f>
        <v>636615882.75</v>
      </c>
      <c r="S234" s="571">
        <f>SUM(S228:S233)</f>
        <v>341480633.16999996</v>
      </c>
      <c r="T234" s="567">
        <v>234</v>
      </c>
    </row>
    <row r="235" spans="2:20" s="427" customFormat="1" ht="20.100000000000001" customHeight="1">
      <c r="B235" s="332">
        <v>70620</v>
      </c>
      <c r="C235" s="144" t="s">
        <v>123</v>
      </c>
      <c r="D235" s="391" t="s">
        <v>124</v>
      </c>
      <c r="E235" s="391">
        <f t="shared" ref="E235:E243" si="44">F235+G235+H235+I235+J235+K235</f>
        <v>0</v>
      </c>
      <c r="F235" s="391"/>
      <c r="G235" s="391"/>
      <c r="H235" s="391"/>
      <c r="I235" s="391"/>
      <c r="J235" s="391"/>
      <c r="K235" s="391"/>
      <c r="L235" s="487"/>
      <c r="M235" s="391">
        <f t="shared" si="32"/>
        <v>0</v>
      </c>
      <c r="N235" s="391"/>
      <c r="O235" s="391"/>
      <c r="P235" s="391"/>
      <c r="Q235" s="391"/>
      <c r="R235" s="409">
        <v>89559.86</v>
      </c>
      <c r="S235" s="409">
        <f t="shared" si="33"/>
        <v>89559.86</v>
      </c>
      <c r="T235" s="567">
        <v>235</v>
      </c>
    </row>
    <row r="236" spans="2:20" s="427" customFormat="1" ht="20.100000000000001" customHeight="1">
      <c r="B236" s="332">
        <v>70620</v>
      </c>
      <c r="C236" s="144" t="s">
        <v>237</v>
      </c>
      <c r="D236" s="391" t="s">
        <v>582</v>
      </c>
      <c r="E236" s="391">
        <f t="shared" si="44"/>
        <v>8657929.1099999994</v>
      </c>
      <c r="F236" s="391">
        <v>7667929.1100000003</v>
      </c>
      <c r="G236" s="391">
        <v>990000</v>
      </c>
      <c r="H236" s="391"/>
      <c r="I236" s="391"/>
      <c r="J236" s="391"/>
      <c r="K236" s="391"/>
      <c r="L236" s="487"/>
      <c r="M236" s="391">
        <f t="shared" si="32"/>
        <v>8657929.1099999994</v>
      </c>
      <c r="N236" s="391"/>
      <c r="O236" s="391"/>
      <c r="P236" s="391"/>
      <c r="Q236" s="391"/>
      <c r="R236" s="409">
        <v>42878091.740000002</v>
      </c>
      <c r="S236" s="409">
        <f t="shared" si="33"/>
        <v>34220162.630000003</v>
      </c>
      <c r="T236" s="567">
        <v>236</v>
      </c>
    </row>
    <row r="237" spans="2:20" s="427" customFormat="1" ht="20.100000000000001" customHeight="1">
      <c r="B237" s="332">
        <v>70620</v>
      </c>
      <c r="C237" s="144" t="s">
        <v>240</v>
      </c>
      <c r="D237" s="391" t="s">
        <v>241</v>
      </c>
      <c r="E237" s="391">
        <f t="shared" si="44"/>
        <v>67631983.49000001</v>
      </c>
      <c r="F237" s="391">
        <v>58609983.490000002</v>
      </c>
      <c r="G237" s="391">
        <v>9022000</v>
      </c>
      <c r="H237" s="391"/>
      <c r="I237" s="391"/>
      <c r="J237" s="391"/>
      <c r="K237" s="391"/>
      <c r="L237" s="487"/>
      <c r="M237" s="391">
        <f t="shared" si="32"/>
        <v>67631983.49000001</v>
      </c>
      <c r="N237" s="391"/>
      <c r="O237" s="391"/>
      <c r="P237" s="391"/>
      <c r="Q237" s="391"/>
      <c r="R237" s="409">
        <v>187359694.93000001</v>
      </c>
      <c r="S237" s="409">
        <f t="shared" si="33"/>
        <v>119727711.44</v>
      </c>
      <c r="T237" s="567">
        <v>237</v>
      </c>
    </row>
    <row r="238" spans="2:20" s="427" customFormat="1" ht="20.100000000000001" customHeight="1">
      <c r="B238" s="332">
        <v>70620</v>
      </c>
      <c r="C238" s="144" t="s">
        <v>583</v>
      </c>
      <c r="D238" s="391" t="s">
        <v>1322</v>
      </c>
      <c r="E238" s="391">
        <f t="shared" si="44"/>
        <v>600000</v>
      </c>
      <c r="F238" s="391"/>
      <c r="G238" s="391">
        <v>600000</v>
      </c>
      <c r="H238" s="391"/>
      <c r="I238" s="391"/>
      <c r="J238" s="391"/>
      <c r="K238" s="391"/>
      <c r="L238" s="487"/>
      <c r="M238" s="391">
        <f t="shared" si="32"/>
        <v>600000</v>
      </c>
      <c r="N238" s="391"/>
      <c r="O238" s="391"/>
      <c r="P238" s="391"/>
      <c r="Q238" s="391"/>
      <c r="R238" s="409">
        <v>3000000</v>
      </c>
      <c r="S238" s="409">
        <f t="shared" si="33"/>
        <v>2400000</v>
      </c>
      <c r="T238" s="567">
        <v>238</v>
      </c>
    </row>
    <row r="239" spans="2:20" s="427" customFormat="1" ht="20.100000000000001" customHeight="1">
      <c r="B239" s="332">
        <v>70620</v>
      </c>
      <c r="C239" s="144" t="s">
        <v>586</v>
      </c>
      <c r="D239" s="391" t="s">
        <v>587</v>
      </c>
      <c r="E239" s="391">
        <f t="shared" si="44"/>
        <v>1200000</v>
      </c>
      <c r="F239" s="391"/>
      <c r="G239" s="391">
        <v>1200000</v>
      </c>
      <c r="H239" s="391"/>
      <c r="I239" s="391"/>
      <c r="J239" s="391"/>
      <c r="K239" s="391"/>
      <c r="L239" s="487">
        <v>6670425</v>
      </c>
      <c r="M239" s="391">
        <f t="shared" si="32"/>
        <v>7870425</v>
      </c>
      <c r="N239" s="391"/>
      <c r="O239" s="391"/>
      <c r="P239" s="391"/>
      <c r="Q239" s="391"/>
      <c r="R239" s="409">
        <v>58000000</v>
      </c>
      <c r="S239" s="409">
        <f t="shared" si="33"/>
        <v>50129575</v>
      </c>
      <c r="T239" s="567">
        <v>239</v>
      </c>
    </row>
    <row r="240" spans="2:20" s="427" customFormat="1" ht="20.100000000000001" customHeight="1">
      <c r="B240" s="332">
        <v>70620</v>
      </c>
      <c r="C240" s="144"/>
      <c r="D240" s="391" t="s">
        <v>1271</v>
      </c>
      <c r="E240" s="391">
        <f t="shared" si="44"/>
        <v>0</v>
      </c>
      <c r="F240" s="391"/>
      <c r="G240" s="391"/>
      <c r="H240" s="391"/>
      <c r="I240" s="391"/>
      <c r="J240" s="391"/>
      <c r="K240" s="391"/>
      <c r="L240" s="487"/>
      <c r="M240" s="391">
        <f t="shared" si="32"/>
        <v>0</v>
      </c>
      <c r="N240" s="391"/>
      <c r="O240" s="391"/>
      <c r="P240" s="391"/>
      <c r="Q240" s="391"/>
      <c r="R240" s="409"/>
      <c r="S240" s="409">
        <f t="shared" si="33"/>
        <v>0</v>
      </c>
      <c r="T240" s="567">
        <v>240</v>
      </c>
    </row>
    <row r="241" spans="2:20" s="427" customFormat="1" ht="20.100000000000001" customHeight="1">
      <c r="B241" s="332">
        <v>70620</v>
      </c>
      <c r="C241" s="144" t="s">
        <v>620</v>
      </c>
      <c r="D241" s="391" t="s">
        <v>621</v>
      </c>
      <c r="E241" s="391">
        <f t="shared" si="44"/>
        <v>960000</v>
      </c>
      <c r="F241" s="391"/>
      <c r="G241" s="391">
        <v>960000</v>
      </c>
      <c r="H241" s="391"/>
      <c r="I241" s="391"/>
      <c r="J241" s="391"/>
      <c r="K241" s="391"/>
      <c r="L241" s="487"/>
      <c r="M241" s="391">
        <f t="shared" si="32"/>
        <v>960000</v>
      </c>
      <c r="N241" s="391"/>
      <c r="O241" s="391"/>
      <c r="P241" s="391"/>
      <c r="Q241" s="391"/>
      <c r="R241" s="409">
        <v>1530760.58</v>
      </c>
      <c r="S241" s="409">
        <f t="shared" si="33"/>
        <v>570760.58000000007</v>
      </c>
      <c r="T241" s="567">
        <v>241</v>
      </c>
    </row>
    <row r="242" spans="2:20" s="427" customFormat="1" ht="20.100000000000001" customHeight="1">
      <c r="B242" s="332">
        <v>70620</v>
      </c>
      <c r="C242" s="144" t="s">
        <v>623</v>
      </c>
      <c r="D242" s="391" t="s">
        <v>624</v>
      </c>
      <c r="E242" s="391">
        <f t="shared" si="44"/>
        <v>120000</v>
      </c>
      <c r="F242" s="391"/>
      <c r="G242" s="391">
        <v>120000</v>
      </c>
      <c r="H242" s="391"/>
      <c r="I242" s="391"/>
      <c r="J242" s="391"/>
      <c r="K242" s="391"/>
      <c r="L242" s="487"/>
      <c r="M242" s="391">
        <f t="shared" si="32"/>
        <v>120000</v>
      </c>
      <c r="N242" s="391"/>
      <c r="O242" s="391"/>
      <c r="P242" s="391"/>
      <c r="Q242" s="391"/>
      <c r="R242" s="409">
        <v>510253.53</v>
      </c>
      <c r="S242" s="409">
        <f t="shared" si="33"/>
        <v>390253.53</v>
      </c>
      <c r="T242" s="567">
        <v>242</v>
      </c>
    </row>
    <row r="243" spans="2:20" s="427" customFormat="1" ht="20.100000000000001" customHeight="1">
      <c r="B243" s="332">
        <v>70620</v>
      </c>
      <c r="C243" s="144" t="s">
        <v>788</v>
      </c>
      <c r="D243" s="391" t="s">
        <v>1272</v>
      </c>
      <c r="E243" s="391">
        <f t="shared" si="44"/>
        <v>0</v>
      </c>
      <c r="F243" s="391"/>
      <c r="G243" s="391"/>
      <c r="H243" s="391"/>
      <c r="I243" s="391"/>
      <c r="J243" s="391"/>
      <c r="K243" s="391"/>
      <c r="L243" s="487"/>
      <c r="M243" s="391">
        <f t="shared" si="32"/>
        <v>0</v>
      </c>
      <c r="N243" s="391"/>
      <c r="O243" s="391"/>
      <c r="P243" s="391"/>
      <c r="Q243" s="391"/>
      <c r="R243" s="409">
        <v>0</v>
      </c>
      <c r="S243" s="409">
        <f t="shared" si="33"/>
        <v>0</v>
      </c>
      <c r="T243" s="567">
        <v>243</v>
      </c>
    </row>
    <row r="244" spans="2:20" s="427" customFormat="1" ht="20.100000000000001" customHeight="1">
      <c r="B244" s="320"/>
      <c r="C244" s="311"/>
      <c r="D244" s="528" t="s">
        <v>1273</v>
      </c>
      <c r="E244" s="571">
        <f t="shared" ref="E244:L244" si="45">SUM(E235:E243)</f>
        <v>79169912.600000009</v>
      </c>
      <c r="F244" s="571">
        <f t="shared" si="45"/>
        <v>66277912.600000001</v>
      </c>
      <c r="G244" s="571">
        <f t="shared" si="45"/>
        <v>12892000</v>
      </c>
      <c r="H244" s="571">
        <f t="shared" si="45"/>
        <v>0</v>
      </c>
      <c r="I244" s="571">
        <f t="shared" si="45"/>
        <v>0</v>
      </c>
      <c r="J244" s="571">
        <f t="shared" si="45"/>
        <v>0</v>
      </c>
      <c r="K244" s="571">
        <f t="shared" si="45"/>
        <v>0</v>
      </c>
      <c r="L244" s="571">
        <f t="shared" si="45"/>
        <v>6670425</v>
      </c>
      <c r="M244" s="571">
        <f>SUM(M235:M243)</f>
        <v>85840337.600000009</v>
      </c>
      <c r="N244" s="571"/>
      <c r="O244" s="571"/>
      <c r="P244" s="571"/>
      <c r="Q244" s="571"/>
      <c r="R244" s="571">
        <f>SUM(R235:R243)</f>
        <v>293368360.63999993</v>
      </c>
      <c r="S244" s="571">
        <f>SUM(S235:S243)</f>
        <v>207528023.04000002</v>
      </c>
      <c r="T244" s="567">
        <v>244</v>
      </c>
    </row>
    <row r="245" spans="2:20" s="427" customFormat="1" ht="20.100000000000001" customHeight="1">
      <c r="B245" s="332">
        <v>70630</v>
      </c>
      <c r="C245" s="144"/>
      <c r="D245" s="391" t="s">
        <v>1274</v>
      </c>
      <c r="E245" s="391">
        <f t="shared" ref="E245:E250" si="46">F245+G245+H245+I245+J245+K245</f>
        <v>0</v>
      </c>
      <c r="F245" s="391"/>
      <c r="G245" s="391"/>
      <c r="H245" s="391"/>
      <c r="I245" s="391"/>
      <c r="J245" s="391"/>
      <c r="K245" s="391"/>
      <c r="L245" s="487"/>
      <c r="M245" s="391">
        <f t="shared" si="32"/>
        <v>0</v>
      </c>
      <c r="N245" s="391"/>
      <c r="O245" s="391"/>
      <c r="P245" s="391"/>
      <c r="Q245" s="391"/>
      <c r="R245" s="409"/>
      <c r="S245" s="409">
        <f t="shared" si="33"/>
        <v>0</v>
      </c>
      <c r="T245" s="567">
        <v>245</v>
      </c>
    </row>
    <row r="246" spans="2:20" s="427" customFormat="1" ht="20.100000000000001" customHeight="1">
      <c r="B246" s="332">
        <v>70630</v>
      </c>
      <c r="C246" s="144" t="s">
        <v>222</v>
      </c>
      <c r="D246" s="391" t="s">
        <v>223</v>
      </c>
      <c r="E246" s="391">
        <f t="shared" si="46"/>
        <v>372526860.55000001</v>
      </c>
      <c r="F246" s="391">
        <v>317576860.55000001</v>
      </c>
      <c r="G246" s="391">
        <v>4950000</v>
      </c>
      <c r="H246" s="391">
        <f>50000000</f>
        <v>50000000</v>
      </c>
      <c r="I246" s="391"/>
      <c r="J246" s="391"/>
      <c r="K246" s="391"/>
      <c r="L246" s="487">
        <v>2000000</v>
      </c>
      <c r="M246" s="391">
        <f t="shared" si="32"/>
        <v>374526860.55000001</v>
      </c>
      <c r="N246" s="391"/>
      <c r="O246" s="391"/>
      <c r="P246" s="391"/>
      <c r="Q246" s="391"/>
      <c r="R246" s="409">
        <v>962394091.40999997</v>
      </c>
      <c r="S246" s="409">
        <f t="shared" si="33"/>
        <v>587867230.8599999</v>
      </c>
      <c r="T246" s="567">
        <v>246</v>
      </c>
    </row>
    <row r="247" spans="2:20" s="427" customFormat="1" ht="20.100000000000001" customHeight="1">
      <c r="B247" s="332">
        <v>70630</v>
      </c>
      <c r="C247" s="144"/>
      <c r="D247" s="391" t="s">
        <v>1323</v>
      </c>
      <c r="E247" s="391">
        <f t="shared" si="46"/>
        <v>1570730284.04</v>
      </c>
      <c r="F247" s="391"/>
      <c r="G247" s="391"/>
      <c r="H247" s="391">
        <v>1570730284.04</v>
      </c>
      <c r="I247" s="391"/>
      <c r="J247" s="391"/>
      <c r="K247" s="391"/>
      <c r="L247" s="487">
        <v>771168465</v>
      </c>
      <c r="M247" s="391">
        <f t="shared" si="32"/>
        <v>2341898749.04</v>
      </c>
      <c r="N247" s="391"/>
      <c r="O247" s="391"/>
      <c r="P247" s="391"/>
      <c r="Q247" s="391"/>
      <c r="R247" s="409">
        <v>0</v>
      </c>
      <c r="S247" s="409">
        <f t="shared" si="33"/>
        <v>-2341898749.04</v>
      </c>
      <c r="T247" s="567">
        <v>247</v>
      </c>
    </row>
    <row r="248" spans="2:20" s="427" customFormat="1" ht="20.100000000000001" customHeight="1">
      <c r="B248" s="332">
        <v>70630</v>
      </c>
      <c r="C248" s="144"/>
      <c r="D248" s="391" t="s">
        <v>893</v>
      </c>
      <c r="E248" s="391">
        <f t="shared" si="46"/>
        <v>0</v>
      </c>
      <c r="F248" s="391"/>
      <c r="G248" s="391"/>
      <c r="H248" s="391"/>
      <c r="I248" s="391"/>
      <c r="J248" s="391"/>
      <c r="K248" s="391"/>
      <c r="L248" s="487"/>
      <c r="M248" s="391">
        <f t="shared" si="32"/>
        <v>0</v>
      </c>
      <c r="N248" s="391"/>
      <c r="O248" s="391"/>
      <c r="P248" s="391"/>
      <c r="Q248" s="391"/>
      <c r="R248" s="409">
        <v>0</v>
      </c>
      <c r="S248" s="409">
        <f t="shared" si="33"/>
        <v>0</v>
      </c>
      <c r="T248" s="567">
        <v>248</v>
      </c>
    </row>
    <row r="249" spans="2:20" s="427" customFormat="1" ht="20.100000000000001" customHeight="1">
      <c r="B249" s="332">
        <v>70630</v>
      </c>
      <c r="C249" s="144"/>
      <c r="D249" s="391" t="s">
        <v>1324</v>
      </c>
      <c r="E249" s="391">
        <f t="shared" si="46"/>
        <v>0</v>
      </c>
      <c r="F249" s="391"/>
      <c r="G249" s="391"/>
      <c r="H249" s="391"/>
      <c r="I249" s="391"/>
      <c r="J249" s="391"/>
      <c r="K249" s="391"/>
      <c r="L249" s="487"/>
      <c r="M249" s="391">
        <f t="shared" si="32"/>
        <v>0</v>
      </c>
      <c r="N249" s="391"/>
      <c r="O249" s="391"/>
      <c r="P249" s="391"/>
      <c r="Q249" s="391"/>
      <c r="R249" s="409">
        <v>0</v>
      </c>
      <c r="S249" s="409">
        <f t="shared" si="33"/>
        <v>0</v>
      </c>
      <c r="T249" s="567">
        <v>249</v>
      </c>
    </row>
    <row r="250" spans="2:20" s="427" customFormat="1" ht="20.100000000000001" customHeight="1">
      <c r="B250" s="332">
        <v>70630</v>
      </c>
      <c r="C250" s="144" t="s">
        <v>225</v>
      </c>
      <c r="D250" s="391" t="s">
        <v>226</v>
      </c>
      <c r="E250" s="391">
        <f t="shared" si="46"/>
        <v>33450803.260000002</v>
      </c>
      <c r="F250" s="391">
        <v>32730803.260000002</v>
      </c>
      <c r="G250" s="391">
        <v>720000</v>
      </c>
      <c r="H250" s="391"/>
      <c r="I250" s="391"/>
      <c r="J250" s="391"/>
      <c r="K250" s="391"/>
      <c r="L250" s="487"/>
      <c r="M250" s="391">
        <f t="shared" si="32"/>
        <v>33450803.260000002</v>
      </c>
      <c r="N250" s="391"/>
      <c r="O250" s="391"/>
      <c r="P250" s="391"/>
      <c r="Q250" s="391"/>
      <c r="R250" s="409">
        <v>67196982.829999998</v>
      </c>
      <c r="S250" s="409">
        <f t="shared" si="33"/>
        <v>33746179.569999993</v>
      </c>
      <c r="T250" s="567">
        <v>250</v>
      </c>
    </row>
    <row r="251" spans="2:20" s="427" customFormat="1" ht="20.100000000000001" customHeight="1">
      <c r="B251" s="320"/>
      <c r="C251" s="311"/>
      <c r="D251" s="528" t="s">
        <v>1275</v>
      </c>
      <c r="E251" s="571">
        <f t="shared" ref="E251:L251" si="47">SUM(E245:E250)</f>
        <v>1976707947.8499999</v>
      </c>
      <c r="F251" s="571">
        <f t="shared" si="47"/>
        <v>350307663.81</v>
      </c>
      <c r="G251" s="571">
        <f t="shared" si="47"/>
        <v>5670000</v>
      </c>
      <c r="H251" s="571">
        <f t="shared" si="47"/>
        <v>1620730284.04</v>
      </c>
      <c r="I251" s="571">
        <f t="shared" si="47"/>
        <v>0</v>
      </c>
      <c r="J251" s="571">
        <f t="shared" si="47"/>
        <v>0</v>
      </c>
      <c r="K251" s="571">
        <f t="shared" si="47"/>
        <v>0</v>
      </c>
      <c r="L251" s="571">
        <f t="shared" si="47"/>
        <v>773168465</v>
      </c>
      <c r="M251" s="571">
        <f>SUM(M245:M250)</f>
        <v>2749876412.8500004</v>
      </c>
      <c r="N251" s="571"/>
      <c r="O251" s="571"/>
      <c r="P251" s="571"/>
      <c r="Q251" s="571"/>
      <c r="R251" s="571">
        <f>SUM(R245:R250)</f>
        <v>1029591074.24</v>
      </c>
      <c r="S251" s="571">
        <f>SUM(S245:S250)</f>
        <v>-1720285338.6100001</v>
      </c>
      <c r="T251" s="567">
        <v>251</v>
      </c>
    </row>
    <row r="252" spans="2:20" s="427" customFormat="1" ht="20.100000000000001" customHeight="1">
      <c r="B252" s="320"/>
      <c r="C252" s="311"/>
      <c r="D252" s="528" t="s">
        <v>335</v>
      </c>
      <c r="E252" s="571">
        <f>E251+E244+E234</f>
        <v>2258395272.1899996</v>
      </c>
      <c r="F252" s="571">
        <f t="shared" ref="F252:L252" si="48">F251+F244+F234</f>
        <v>598717286.1500001</v>
      </c>
      <c r="G252" s="571">
        <f t="shared" si="48"/>
        <v>25747702</v>
      </c>
      <c r="H252" s="571">
        <f t="shared" si="48"/>
        <v>1633930284.04</v>
      </c>
      <c r="I252" s="571">
        <f t="shared" si="48"/>
        <v>0</v>
      </c>
      <c r="J252" s="571">
        <f t="shared" si="48"/>
        <v>0</v>
      </c>
      <c r="K252" s="571">
        <f t="shared" si="48"/>
        <v>0</v>
      </c>
      <c r="L252" s="571">
        <f t="shared" si="48"/>
        <v>872456727.84000003</v>
      </c>
      <c r="M252" s="571">
        <f>M251+M244+M234</f>
        <v>3130852000.0300002</v>
      </c>
      <c r="N252" s="571"/>
      <c r="O252" s="571"/>
      <c r="P252" s="571"/>
      <c r="Q252" s="571"/>
      <c r="R252" s="571">
        <f>R251+R244+R234</f>
        <v>1959575317.6299999</v>
      </c>
      <c r="S252" s="571">
        <f>S251+S244+S234</f>
        <v>-1171276682.4000001</v>
      </c>
      <c r="T252" s="567">
        <v>252</v>
      </c>
    </row>
    <row r="253" spans="2:20" s="427" customFormat="1" ht="20.100000000000001" customHeight="1">
      <c r="B253" s="332"/>
      <c r="C253" s="144"/>
      <c r="D253" s="528" t="s">
        <v>1276</v>
      </c>
      <c r="E253" s="391">
        <f>F253+G253+H253+I253+J253+K253</f>
        <v>0</v>
      </c>
      <c r="F253" s="391"/>
      <c r="G253" s="391"/>
      <c r="H253" s="391"/>
      <c r="I253" s="391"/>
      <c r="J253" s="391"/>
      <c r="K253" s="391"/>
      <c r="L253" s="487"/>
      <c r="M253" s="391">
        <f t="shared" si="32"/>
        <v>0</v>
      </c>
      <c r="N253" s="391"/>
      <c r="O253" s="391"/>
      <c r="P253" s="391"/>
      <c r="Q253" s="391"/>
      <c r="R253" s="409"/>
      <c r="S253" s="409">
        <f t="shared" si="33"/>
        <v>0</v>
      </c>
      <c r="T253" s="567">
        <v>253</v>
      </c>
    </row>
    <row r="254" spans="2:20" s="427" customFormat="1" ht="20.100000000000001" customHeight="1">
      <c r="B254" s="332">
        <v>70721</v>
      </c>
      <c r="C254" s="144" t="s">
        <v>300</v>
      </c>
      <c r="D254" s="391" t="s">
        <v>301</v>
      </c>
      <c r="E254" s="391">
        <f>F254+G254+H254+I254+J254+K254</f>
        <v>371775177.86000001</v>
      </c>
      <c r="F254" s="391">
        <v>309575177.86000001</v>
      </c>
      <c r="G254" s="391">
        <v>2200000</v>
      </c>
      <c r="H254" s="391">
        <v>60000000</v>
      </c>
      <c r="I254" s="391"/>
      <c r="J254" s="391"/>
      <c r="K254" s="391"/>
      <c r="L254" s="487">
        <v>1000000</v>
      </c>
      <c r="M254" s="391">
        <f t="shared" si="32"/>
        <v>372775177.86000001</v>
      </c>
      <c r="N254" s="391"/>
      <c r="O254" s="391"/>
      <c r="P254" s="391"/>
      <c r="Q254" s="391"/>
      <c r="R254" s="409">
        <v>952831773.52999997</v>
      </c>
      <c r="S254" s="409">
        <f t="shared" si="33"/>
        <v>580056595.66999996</v>
      </c>
      <c r="T254" s="567">
        <v>254</v>
      </c>
    </row>
    <row r="255" spans="2:20" s="427" customFormat="1" ht="20.100000000000001" customHeight="1">
      <c r="B255" s="332">
        <v>70721</v>
      </c>
      <c r="C255" s="144" t="s">
        <v>1491</v>
      </c>
      <c r="D255" s="391" t="s">
        <v>2018</v>
      </c>
      <c r="E255" s="391">
        <v>500000</v>
      </c>
      <c r="F255" s="391"/>
      <c r="G255" s="391">
        <v>500000</v>
      </c>
      <c r="H255" s="391"/>
      <c r="I255" s="391"/>
      <c r="J255" s="391"/>
      <c r="K255" s="391"/>
      <c r="L255" s="487"/>
      <c r="M255" s="391">
        <f t="shared" si="32"/>
        <v>500000</v>
      </c>
      <c r="N255" s="391"/>
      <c r="O255" s="391"/>
      <c r="P255" s="391"/>
      <c r="Q255" s="391"/>
      <c r="R255" s="409">
        <v>2000000</v>
      </c>
      <c r="S255" s="409">
        <f t="shared" si="33"/>
        <v>1500000</v>
      </c>
      <c r="T255" s="567">
        <v>255</v>
      </c>
    </row>
    <row r="256" spans="2:20" s="427" customFormat="1" ht="20.100000000000001" customHeight="1">
      <c r="B256" s="332">
        <v>70721</v>
      </c>
      <c r="C256" s="144" t="s">
        <v>1497</v>
      </c>
      <c r="D256" s="391" t="s">
        <v>1498</v>
      </c>
      <c r="E256" s="391">
        <v>500000</v>
      </c>
      <c r="F256" s="391"/>
      <c r="G256" s="391">
        <v>500000</v>
      </c>
      <c r="H256" s="391"/>
      <c r="I256" s="391"/>
      <c r="J256" s="391"/>
      <c r="K256" s="391"/>
      <c r="L256" s="487"/>
      <c r="M256" s="391">
        <f t="shared" si="32"/>
        <v>500000</v>
      </c>
      <c r="N256" s="391"/>
      <c r="O256" s="391"/>
      <c r="P256" s="391"/>
      <c r="Q256" s="391"/>
      <c r="R256" s="409">
        <v>2000000</v>
      </c>
      <c r="S256" s="409">
        <f t="shared" si="33"/>
        <v>1500000</v>
      </c>
      <c r="T256" s="567">
        <v>256</v>
      </c>
    </row>
    <row r="257" spans="2:20" s="427" customFormat="1" ht="20.100000000000001" customHeight="1">
      <c r="B257" s="332">
        <v>70721</v>
      </c>
      <c r="C257" s="144"/>
      <c r="D257" s="391" t="s">
        <v>1444</v>
      </c>
      <c r="E257" s="391">
        <f>F257+G257+H257+I257+J257+K257</f>
        <v>0</v>
      </c>
      <c r="F257" s="391"/>
      <c r="G257" s="391"/>
      <c r="H257" s="391"/>
      <c r="I257" s="391"/>
      <c r="J257" s="391"/>
      <c r="K257" s="391"/>
      <c r="L257" s="487"/>
      <c r="M257" s="391">
        <f t="shared" si="32"/>
        <v>0</v>
      </c>
      <c r="N257" s="391"/>
      <c r="O257" s="391"/>
      <c r="P257" s="391"/>
      <c r="Q257" s="391"/>
      <c r="R257" s="409">
        <v>0</v>
      </c>
      <c r="S257" s="409">
        <f t="shared" si="33"/>
        <v>0</v>
      </c>
      <c r="T257" s="567">
        <v>257</v>
      </c>
    </row>
    <row r="258" spans="2:20" s="427" customFormat="1" ht="20.100000000000001" customHeight="1">
      <c r="B258" s="332">
        <v>70721</v>
      </c>
      <c r="C258" s="144" t="s">
        <v>601</v>
      </c>
      <c r="D258" s="391" t="s">
        <v>602</v>
      </c>
      <c r="E258" s="391">
        <f>F258+G258+H258+I258+J258+K258</f>
        <v>1980000</v>
      </c>
      <c r="F258" s="391"/>
      <c r="G258" s="391">
        <v>1980000</v>
      </c>
      <c r="H258" s="391"/>
      <c r="I258" s="391"/>
      <c r="J258" s="391"/>
      <c r="K258" s="391"/>
      <c r="L258" s="487"/>
      <c r="M258" s="391">
        <f t="shared" si="32"/>
        <v>1980000</v>
      </c>
      <c r="N258" s="391"/>
      <c r="O258" s="391"/>
      <c r="P258" s="391"/>
      <c r="Q258" s="391"/>
      <c r="R258" s="409">
        <v>3061521.15</v>
      </c>
      <c r="S258" s="409">
        <f t="shared" si="33"/>
        <v>1081521.1499999999</v>
      </c>
      <c r="T258" s="567">
        <v>258</v>
      </c>
    </row>
    <row r="259" spans="2:20" s="427" customFormat="1" ht="20.100000000000001" customHeight="1">
      <c r="B259" s="320"/>
      <c r="C259" s="311"/>
      <c r="D259" s="528" t="s">
        <v>1277</v>
      </c>
      <c r="E259" s="571">
        <f t="shared" ref="E259:M259" si="49">SUM(E254:E258)</f>
        <v>374755177.86000001</v>
      </c>
      <c r="F259" s="571">
        <f t="shared" si="49"/>
        <v>309575177.86000001</v>
      </c>
      <c r="G259" s="571">
        <f t="shared" si="49"/>
        <v>5180000</v>
      </c>
      <c r="H259" s="571">
        <f t="shared" si="49"/>
        <v>60000000</v>
      </c>
      <c r="I259" s="571">
        <f t="shared" si="49"/>
        <v>0</v>
      </c>
      <c r="J259" s="571">
        <f t="shared" si="49"/>
        <v>0</v>
      </c>
      <c r="K259" s="571">
        <f t="shared" si="49"/>
        <v>0</v>
      </c>
      <c r="L259" s="571">
        <f t="shared" si="49"/>
        <v>1000000</v>
      </c>
      <c r="M259" s="571">
        <f t="shared" si="49"/>
        <v>375755177.86000001</v>
      </c>
      <c r="N259" s="571"/>
      <c r="O259" s="571"/>
      <c r="P259" s="571"/>
      <c r="Q259" s="571"/>
      <c r="R259" s="571">
        <f>SUM(R254:R258)</f>
        <v>959893294.67999995</v>
      </c>
      <c r="S259" s="571">
        <f>SUM(S254:S258)</f>
        <v>584138116.81999993</v>
      </c>
      <c r="T259" s="567">
        <v>259</v>
      </c>
    </row>
    <row r="260" spans="2:20" s="427" customFormat="1" ht="20.100000000000001" customHeight="1">
      <c r="B260" s="332">
        <v>70731</v>
      </c>
      <c r="C260" s="144" t="s">
        <v>303</v>
      </c>
      <c r="D260" s="391" t="s">
        <v>304</v>
      </c>
      <c r="E260" s="391">
        <f>F260+G260+H260+I260+J260+K260</f>
        <v>72122232.549999997</v>
      </c>
      <c r="F260" s="391">
        <v>17923842.550000001</v>
      </c>
      <c r="G260" s="391">
        <v>2640000</v>
      </c>
      <c r="H260" s="391">
        <v>51558390</v>
      </c>
      <c r="I260" s="391"/>
      <c r="J260" s="391"/>
      <c r="K260" s="391"/>
      <c r="L260" s="487">
        <v>12196570</v>
      </c>
      <c r="M260" s="391">
        <f t="shared" si="32"/>
        <v>84318802.549999997</v>
      </c>
      <c r="N260" s="391"/>
      <c r="O260" s="391"/>
      <c r="P260" s="391"/>
      <c r="Q260" s="391"/>
      <c r="R260" s="409">
        <v>201653967.63999999</v>
      </c>
      <c r="S260" s="409">
        <f t="shared" si="33"/>
        <v>117335165.08999999</v>
      </c>
      <c r="T260" s="567">
        <v>260</v>
      </c>
    </row>
    <row r="261" spans="2:20" s="427" customFormat="1" ht="20.100000000000001" customHeight="1">
      <c r="B261" s="332">
        <v>70731</v>
      </c>
      <c r="C261" s="144" t="s">
        <v>678</v>
      </c>
      <c r="D261" s="391" t="s">
        <v>679</v>
      </c>
      <c r="E261" s="391">
        <f>F261+G261+H261+I261+J261+K261</f>
        <v>2930786052.77</v>
      </c>
      <c r="F261" s="391"/>
      <c r="G261" s="391"/>
      <c r="H261" s="391"/>
      <c r="I261" s="391">
        <v>2930786052.77</v>
      </c>
      <c r="J261" s="391"/>
      <c r="K261" s="391"/>
      <c r="L261" s="487">
        <v>14605857.5</v>
      </c>
      <c r="M261" s="391">
        <f t="shared" si="32"/>
        <v>2945391910.27</v>
      </c>
      <c r="N261" s="391"/>
      <c r="O261" s="391"/>
      <c r="P261" s="391"/>
      <c r="Q261" s="391"/>
      <c r="R261" s="409">
        <v>3360853934.2399998</v>
      </c>
      <c r="S261" s="409">
        <f t="shared" si="33"/>
        <v>415462023.96999979</v>
      </c>
      <c r="T261" s="567">
        <v>261</v>
      </c>
    </row>
    <row r="262" spans="2:20" s="427" customFormat="1" ht="20.100000000000001" customHeight="1">
      <c r="B262" s="332">
        <v>70731</v>
      </c>
      <c r="C262" s="144" t="s">
        <v>306</v>
      </c>
      <c r="D262" s="391" t="s">
        <v>307</v>
      </c>
      <c r="E262" s="391">
        <f>F262+G262+H262+I262+J262+K262</f>
        <v>2553684311.75</v>
      </c>
      <c r="F262" s="391">
        <v>2550684311.75</v>
      </c>
      <c r="G262" s="391">
        <v>3000000</v>
      </c>
      <c r="H262" s="391"/>
      <c r="I262" s="391"/>
      <c r="J262" s="391"/>
      <c r="K262" s="391"/>
      <c r="L262" s="487"/>
      <c r="M262" s="391">
        <f t="shared" si="32"/>
        <v>2553684311.75</v>
      </c>
      <c r="N262" s="391"/>
      <c r="O262" s="391"/>
      <c r="P262" s="391"/>
      <c r="Q262" s="391"/>
      <c r="R262" s="409">
        <v>3020752292.0599999</v>
      </c>
      <c r="S262" s="409">
        <f t="shared" si="33"/>
        <v>467067980.30999994</v>
      </c>
      <c r="T262" s="567">
        <v>262</v>
      </c>
    </row>
    <row r="263" spans="2:20" s="427" customFormat="1" ht="20.100000000000001" customHeight="1">
      <c r="B263" s="332">
        <v>70731</v>
      </c>
      <c r="C263" s="144" t="s">
        <v>1278</v>
      </c>
      <c r="D263" s="391" t="s">
        <v>1279</v>
      </c>
      <c r="E263" s="391">
        <f>F263+G263+H263+I263+J263+K263</f>
        <v>0</v>
      </c>
      <c r="F263" s="391"/>
      <c r="G263" s="391"/>
      <c r="H263" s="391"/>
      <c r="I263" s="391"/>
      <c r="J263" s="391"/>
      <c r="K263" s="391"/>
      <c r="L263" s="487"/>
      <c r="M263" s="391">
        <f t="shared" si="32"/>
        <v>0</v>
      </c>
      <c r="N263" s="391"/>
      <c r="O263" s="391"/>
      <c r="P263" s="391"/>
      <c r="Q263" s="391"/>
      <c r="R263" s="409"/>
      <c r="S263" s="409">
        <f t="shared" si="33"/>
        <v>0</v>
      </c>
      <c r="T263" s="567">
        <v>263</v>
      </c>
    </row>
    <row r="264" spans="2:20" s="427" customFormat="1" ht="20.100000000000001" customHeight="1">
      <c r="B264" s="332">
        <v>70734</v>
      </c>
      <c r="C264" s="144" t="s">
        <v>1493</v>
      </c>
      <c r="D264" s="391" t="s">
        <v>2019</v>
      </c>
      <c r="E264" s="391">
        <f>F264+G264+H264+I264+J264+K264</f>
        <v>550000</v>
      </c>
      <c r="F264" s="391"/>
      <c r="G264" s="391">
        <v>550000</v>
      </c>
      <c r="H264" s="391"/>
      <c r="I264" s="391"/>
      <c r="J264" s="391"/>
      <c r="K264" s="391"/>
      <c r="L264" s="487"/>
      <c r="M264" s="391">
        <f>L264+E264</f>
        <v>550000</v>
      </c>
      <c r="N264" s="391"/>
      <c r="O264" s="391"/>
      <c r="P264" s="391"/>
      <c r="Q264" s="391"/>
      <c r="R264" s="409">
        <v>2000000</v>
      </c>
      <c r="S264" s="409">
        <f t="shared" si="33"/>
        <v>1450000</v>
      </c>
      <c r="T264" s="567">
        <v>264</v>
      </c>
    </row>
    <row r="265" spans="2:20" s="427" customFormat="1" ht="20.100000000000001" customHeight="1">
      <c r="B265" s="320"/>
      <c r="C265" s="311"/>
      <c r="D265" s="528" t="s">
        <v>1280</v>
      </c>
      <c r="E265" s="571">
        <f>SUM(E260:E264)</f>
        <v>5557142597.0699997</v>
      </c>
      <c r="F265" s="571">
        <f t="shared" ref="F265:L265" si="50">SUM(F260:F264)</f>
        <v>2568608154.3000002</v>
      </c>
      <c r="G265" s="571">
        <f t="shared" si="50"/>
        <v>6190000</v>
      </c>
      <c r="H265" s="571">
        <f t="shared" si="50"/>
        <v>51558390</v>
      </c>
      <c r="I265" s="571">
        <f t="shared" si="50"/>
        <v>2930786052.77</v>
      </c>
      <c r="J265" s="571">
        <f t="shared" si="50"/>
        <v>0</v>
      </c>
      <c r="K265" s="571">
        <f t="shared" si="50"/>
        <v>0</v>
      </c>
      <c r="L265" s="571">
        <f t="shared" si="50"/>
        <v>26802427.5</v>
      </c>
      <c r="M265" s="571">
        <f>SUM(M260:M264)</f>
        <v>5583945024.5699997</v>
      </c>
      <c r="N265" s="571"/>
      <c r="O265" s="571"/>
      <c r="P265" s="571"/>
      <c r="Q265" s="571"/>
      <c r="R265" s="571">
        <f>SUM(R260:R264)</f>
        <v>6585260193.9399996</v>
      </c>
      <c r="S265" s="571">
        <f>SUM(S260:S263)</f>
        <v>999865169.36999965</v>
      </c>
      <c r="T265" s="567">
        <v>265</v>
      </c>
    </row>
    <row r="266" spans="2:20" s="427" customFormat="1" ht="20.100000000000001" customHeight="1">
      <c r="B266" s="332">
        <v>70734</v>
      </c>
      <c r="C266" s="144" t="s">
        <v>681</v>
      </c>
      <c r="D266" s="391" t="s">
        <v>682</v>
      </c>
      <c r="E266" s="391">
        <f>F266+G266+H266+I266+J266+K266</f>
        <v>453369294.32999998</v>
      </c>
      <c r="F266" s="391"/>
      <c r="G266" s="391"/>
      <c r="H266" s="391"/>
      <c r="I266" s="391">
        <v>453369294.32999998</v>
      </c>
      <c r="J266" s="391"/>
      <c r="K266" s="391"/>
      <c r="L266" s="487"/>
      <c r="M266" s="391">
        <f t="shared" si="32"/>
        <v>453369294.32999998</v>
      </c>
      <c r="N266" s="391"/>
      <c r="O266" s="391"/>
      <c r="P266" s="391"/>
      <c r="Q266" s="391"/>
      <c r="R266" s="409">
        <v>565227478.69000006</v>
      </c>
      <c r="S266" s="409">
        <f t="shared" si="33"/>
        <v>111858184.36000007</v>
      </c>
      <c r="T266" s="567">
        <v>266</v>
      </c>
    </row>
    <row r="267" spans="2:20" s="427" customFormat="1" ht="20.100000000000001" customHeight="1">
      <c r="B267" s="332">
        <v>70734</v>
      </c>
      <c r="C267" s="144" t="s">
        <v>1493</v>
      </c>
      <c r="D267" s="391" t="s">
        <v>1321</v>
      </c>
      <c r="E267" s="391"/>
      <c r="F267" s="391"/>
      <c r="G267" s="391"/>
      <c r="H267" s="391"/>
      <c r="I267" s="391"/>
      <c r="J267" s="391"/>
      <c r="K267" s="391"/>
      <c r="L267" s="487"/>
      <c r="M267" s="391">
        <f t="shared" si="32"/>
        <v>0</v>
      </c>
      <c r="N267" s="391"/>
      <c r="O267" s="391"/>
      <c r="P267" s="391"/>
      <c r="Q267" s="391"/>
      <c r="R267" s="409">
        <v>0</v>
      </c>
      <c r="S267" s="409"/>
      <c r="T267" s="567">
        <v>267</v>
      </c>
    </row>
    <row r="268" spans="2:20" s="427" customFormat="1" ht="20.100000000000001" customHeight="1">
      <c r="B268" s="332">
        <v>70734</v>
      </c>
      <c r="C268" s="144" t="s">
        <v>309</v>
      </c>
      <c r="D268" s="391" t="s">
        <v>310</v>
      </c>
      <c r="E268" s="391">
        <f>F268+G268+H268+I268+J268+K268</f>
        <v>18278097.879999999</v>
      </c>
      <c r="F268" s="391">
        <v>17726097.879999999</v>
      </c>
      <c r="G268" s="391">
        <v>552000</v>
      </c>
      <c r="H268" s="391"/>
      <c r="I268" s="391"/>
      <c r="J268" s="391"/>
      <c r="K268" s="391"/>
      <c r="L268" s="487"/>
      <c r="M268" s="391">
        <f t="shared" si="32"/>
        <v>18278097.879999999</v>
      </c>
      <c r="N268" s="391"/>
      <c r="O268" s="391"/>
      <c r="P268" s="391"/>
      <c r="Q268" s="391"/>
      <c r="R268" s="409">
        <v>89824172.629999995</v>
      </c>
      <c r="S268" s="409">
        <f t="shared" si="33"/>
        <v>71546074.75</v>
      </c>
      <c r="T268" s="567">
        <v>268</v>
      </c>
    </row>
    <row r="269" spans="2:20" s="427" customFormat="1" ht="20.100000000000001" customHeight="1">
      <c r="B269" s="320"/>
      <c r="C269" s="311"/>
      <c r="D269" s="528" t="s">
        <v>1281</v>
      </c>
      <c r="E269" s="571">
        <f t="shared" ref="E269:M269" si="51">SUM(E266:E268)</f>
        <v>471647392.20999998</v>
      </c>
      <c r="F269" s="571">
        <f t="shared" si="51"/>
        <v>17726097.879999999</v>
      </c>
      <c r="G269" s="571">
        <f t="shared" si="51"/>
        <v>552000</v>
      </c>
      <c r="H269" s="571">
        <f t="shared" si="51"/>
        <v>0</v>
      </c>
      <c r="I269" s="571">
        <f t="shared" si="51"/>
        <v>453369294.32999998</v>
      </c>
      <c r="J269" s="571">
        <f t="shared" si="51"/>
        <v>0</v>
      </c>
      <c r="K269" s="571">
        <f t="shared" si="51"/>
        <v>0</v>
      </c>
      <c r="L269" s="571">
        <f t="shared" si="51"/>
        <v>0</v>
      </c>
      <c r="M269" s="571">
        <f t="shared" si="51"/>
        <v>471647392.20999998</v>
      </c>
      <c r="N269" s="571"/>
      <c r="O269" s="571"/>
      <c r="P269" s="571"/>
      <c r="Q269" s="571"/>
      <c r="R269" s="571">
        <f>SUM(R266:R268)</f>
        <v>655051651.32000005</v>
      </c>
      <c r="S269" s="571">
        <f>SUM(S266:S268)</f>
        <v>183404259.11000007</v>
      </c>
      <c r="T269" s="567">
        <v>269</v>
      </c>
    </row>
    <row r="270" spans="2:20" s="427" customFormat="1" ht="20.100000000000001" customHeight="1">
      <c r="B270" s="320"/>
      <c r="C270" s="311"/>
      <c r="D270" s="528" t="s">
        <v>335</v>
      </c>
      <c r="E270" s="571">
        <f t="shared" ref="E270:M270" si="52">E269+E265+E259</f>
        <v>6403545167.1399994</v>
      </c>
      <c r="F270" s="571">
        <f t="shared" si="52"/>
        <v>2895909430.0400004</v>
      </c>
      <c r="G270" s="571">
        <f t="shared" si="52"/>
        <v>11922000</v>
      </c>
      <c r="H270" s="571">
        <f t="shared" si="52"/>
        <v>111558390</v>
      </c>
      <c r="I270" s="571">
        <f t="shared" si="52"/>
        <v>3384155347.0999999</v>
      </c>
      <c r="J270" s="571">
        <f t="shared" si="52"/>
        <v>0</v>
      </c>
      <c r="K270" s="571">
        <f t="shared" si="52"/>
        <v>0</v>
      </c>
      <c r="L270" s="571">
        <f t="shared" si="52"/>
        <v>27802427.5</v>
      </c>
      <c r="M270" s="571">
        <f t="shared" si="52"/>
        <v>6431347594.6399994</v>
      </c>
      <c r="N270" s="571"/>
      <c r="O270" s="571"/>
      <c r="P270" s="571"/>
      <c r="Q270" s="571"/>
      <c r="R270" s="571">
        <f>R269+R265+R259</f>
        <v>8200205139.9399996</v>
      </c>
      <c r="S270" s="571">
        <f>S269+S265+S259</f>
        <v>1767407545.2999997</v>
      </c>
      <c r="T270" s="567">
        <v>270</v>
      </c>
    </row>
    <row r="271" spans="2:20" s="427" customFormat="1" ht="20.100000000000001" customHeight="1">
      <c r="B271" s="332"/>
      <c r="C271" s="144"/>
      <c r="D271" s="528" t="s">
        <v>1282</v>
      </c>
      <c r="E271" s="391">
        <f t="shared" ref="E271:E280" si="53">F271+G271+H271+I271+J271+K271</f>
        <v>0</v>
      </c>
      <c r="F271" s="391"/>
      <c r="G271" s="391"/>
      <c r="H271" s="391"/>
      <c r="I271" s="391"/>
      <c r="J271" s="391"/>
      <c r="K271" s="391"/>
      <c r="L271" s="487"/>
      <c r="M271" s="391">
        <f t="shared" si="32"/>
        <v>0</v>
      </c>
      <c r="N271" s="391"/>
      <c r="O271" s="391"/>
      <c r="P271" s="391"/>
      <c r="Q271" s="391"/>
      <c r="R271" s="409"/>
      <c r="S271" s="409">
        <f t="shared" si="33"/>
        <v>0</v>
      </c>
      <c r="T271" s="567">
        <v>271</v>
      </c>
    </row>
    <row r="272" spans="2:20" s="427" customFormat="1" ht="20.100000000000001" customHeight="1">
      <c r="B272" s="332">
        <v>70810</v>
      </c>
      <c r="C272" s="144" t="s">
        <v>1283</v>
      </c>
      <c r="D272" s="391" t="s">
        <v>1284</v>
      </c>
      <c r="E272" s="391">
        <f t="shared" si="53"/>
        <v>0</v>
      </c>
      <c r="F272" s="391"/>
      <c r="G272" s="391"/>
      <c r="H272" s="391"/>
      <c r="I272" s="391"/>
      <c r="J272" s="391"/>
      <c r="K272" s="391"/>
      <c r="L272" s="487"/>
      <c r="M272" s="391">
        <f t="shared" si="32"/>
        <v>0</v>
      </c>
      <c r="N272" s="391"/>
      <c r="O272" s="391"/>
      <c r="P272" s="391"/>
      <c r="Q272" s="391"/>
      <c r="R272" s="409">
        <v>0</v>
      </c>
      <c r="S272" s="409">
        <f t="shared" si="33"/>
        <v>0</v>
      </c>
      <c r="T272" s="567">
        <v>272</v>
      </c>
    </row>
    <row r="273" spans="2:20" s="427" customFormat="1" ht="20.100000000000001" customHeight="1">
      <c r="B273" s="332">
        <v>70810</v>
      </c>
      <c r="C273" s="144" t="s">
        <v>590</v>
      </c>
      <c r="D273" s="391" t="s">
        <v>1285</v>
      </c>
      <c r="E273" s="391">
        <f t="shared" si="53"/>
        <v>0</v>
      </c>
      <c r="F273" s="391"/>
      <c r="G273" s="391"/>
      <c r="H273" s="391"/>
      <c r="I273" s="391"/>
      <c r="J273" s="391"/>
      <c r="K273" s="391"/>
      <c r="L273" s="487"/>
      <c r="M273" s="391">
        <f t="shared" si="32"/>
        <v>0</v>
      </c>
      <c r="N273" s="391"/>
      <c r="O273" s="391"/>
      <c r="P273" s="391"/>
      <c r="Q273" s="391"/>
      <c r="R273" s="409">
        <v>0</v>
      </c>
      <c r="S273" s="409">
        <f t="shared" si="33"/>
        <v>0</v>
      </c>
      <c r="T273" s="567">
        <v>273</v>
      </c>
    </row>
    <row r="274" spans="2:20" s="427" customFormat="1" ht="20.100000000000001" customHeight="1">
      <c r="B274" s="332">
        <v>70810</v>
      </c>
      <c r="C274" s="144" t="s">
        <v>590</v>
      </c>
      <c r="D274" s="391" t="s">
        <v>592</v>
      </c>
      <c r="E274" s="391">
        <f t="shared" si="53"/>
        <v>5880000</v>
      </c>
      <c r="F274" s="391"/>
      <c r="G274" s="391">
        <v>1680000</v>
      </c>
      <c r="H274" s="391">
        <v>4200000</v>
      </c>
      <c r="I274" s="391"/>
      <c r="J274" s="391"/>
      <c r="K274" s="391"/>
      <c r="L274" s="487"/>
      <c r="M274" s="391">
        <f t="shared" ref="M274:M337" si="54">L274+E274</f>
        <v>5880000</v>
      </c>
      <c r="N274" s="391"/>
      <c r="O274" s="391"/>
      <c r="P274" s="391"/>
      <c r="Q274" s="391"/>
      <c r="R274" s="409">
        <v>15250367.630000001</v>
      </c>
      <c r="S274" s="409">
        <f t="shared" ref="S274:S337" si="55">R274-M274</f>
        <v>9370367.6300000008</v>
      </c>
      <c r="T274" s="567">
        <v>274</v>
      </c>
    </row>
    <row r="275" spans="2:20" s="427" customFormat="1" ht="20.100000000000001" customHeight="1">
      <c r="B275" s="332">
        <v>70810</v>
      </c>
      <c r="C275" s="144" t="s">
        <v>1286</v>
      </c>
      <c r="D275" s="391" t="s">
        <v>1287</v>
      </c>
      <c r="E275" s="391">
        <f t="shared" si="53"/>
        <v>0</v>
      </c>
      <c r="F275" s="391"/>
      <c r="G275" s="391"/>
      <c r="H275" s="391"/>
      <c r="I275" s="391"/>
      <c r="J275" s="391"/>
      <c r="K275" s="391"/>
      <c r="L275" s="487"/>
      <c r="M275" s="391">
        <f t="shared" si="54"/>
        <v>0</v>
      </c>
      <c r="N275" s="391"/>
      <c r="O275" s="391"/>
      <c r="P275" s="391"/>
      <c r="Q275" s="391"/>
      <c r="R275" s="409"/>
      <c r="S275" s="409">
        <f t="shared" si="55"/>
        <v>0</v>
      </c>
      <c r="T275" s="567">
        <v>275</v>
      </c>
    </row>
    <row r="276" spans="2:20" s="427" customFormat="1" ht="20.100000000000001" customHeight="1">
      <c r="B276" s="332">
        <v>70810</v>
      </c>
      <c r="C276" s="144" t="s">
        <v>594</v>
      </c>
      <c r="D276" s="391" t="s">
        <v>595</v>
      </c>
      <c r="E276" s="391">
        <f t="shared" si="53"/>
        <v>116191299.17</v>
      </c>
      <c r="F276" s="391"/>
      <c r="G276" s="391">
        <v>900000</v>
      </c>
      <c r="H276" s="391">
        <v>115291299.17</v>
      </c>
      <c r="I276" s="391"/>
      <c r="J276" s="391"/>
      <c r="K276" s="391"/>
      <c r="L276" s="487">
        <v>223650</v>
      </c>
      <c r="M276" s="391">
        <f t="shared" si="54"/>
        <v>116414949.17</v>
      </c>
      <c r="N276" s="391"/>
      <c r="O276" s="391"/>
      <c r="P276" s="391"/>
      <c r="Q276" s="391"/>
      <c r="R276" s="409">
        <v>5000000</v>
      </c>
      <c r="S276" s="409">
        <f t="shared" si="55"/>
        <v>-111414949.17</v>
      </c>
      <c r="T276" s="567">
        <v>276</v>
      </c>
    </row>
    <row r="277" spans="2:20" s="427" customFormat="1" ht="20.100000000000001" customHeight="1">
      <c r="B277" s="332">
        <v>70810</v>
      </c>
      <c r="C277" s="144" t="s">
        <v>794</v>
      </c>
      <c r="D277" s="391" t="s">
        <v>795</v>
      </c>
      <c r="E277" s="391">
        <f t="shared" si="53"/>
        <v>0</v>
      </c>
      <c r="F277" s="391"/>
      <c r="G277" s="391"/>
      <c r="H277" s="391"/>
      <c r="I277" s="391"/>
      <c r="J277" s="391"/>
      <c r="K277" s="391"/>
      <c r="L277" s="487"/>
      <c r="M277" s="391">
        <f t="shared" si="54"/>
        <v>0</v>
      </c>
      <c r="N277" s="391"/>
      <c r="O277" s="391"/>
      <c r="P277" s="391"/>
      <c r="Q277" s="391"/>
      <c r="R277" s="409"/>
      <c r="S277" s="409">
        <f t="shared" si="55"/>
        <v>0</v>
      </c>
      <c r="T277" s="567">
        <v>277</v>
      </c>
    </row>
    <row r="278" spans="2:20" s="427" customFormat="1" ht="20.100000000000001" customHeight="1">
      <c r="B278" s="332">
        <v>70810</v>
      </c>
      <c r="C278" s="144"/>
      <c r="D278" s="391" t="s">
        <v>1288</v>
      </c>
      <c r="E278" s="391">
        <f t="shared" si="53"/>
        <v>0</v>
      </c>
      <c r="F278" s="391"/>
      <c r="G278" s="391"/>
      <c r="H278" s="391"/>
      <c r="I278" s="391"/>
      <c r="J278" s="391"/>
      <c r="K278" s="391"/>
      <c r="L278" s="487"/>
      <c r="M278" s="391">
        <f t="shared" si="54"/>
        <v>0</v>
      </c>
      <c r="N278" s="391"/>
      <c r="O278" s="391"/>
      <c r="P278" s="391"/>
      <c r="Q278" s="391"/>
      <c r="R278" s="409"/>
      <c r="S278" s="409">
        <f t="shared" si="55"/>
        <v>0</v>
      </c>
      <c r="T278" s="567">
        <v>278</v>
      </c>
    </row>
    <row r="279" spans="2:20" s="427" customFormat="1" ht="20.100000000000001" customHeight="1">
      <c r="B279" s="332">
        <v>70810</v>
      </c>
      <c r="C279" s="144" t="s">
        <v>321</v>
      </c>
      <c r="D279" s="391" t="s">
        <v>322</v>
      </c>
      <c r="E279" s="391">
        <f t="shared" si="53"/>
        <v>64381021.670000002</v>
      </c>
      <c r="F279" s="391">
        <v>58281021.670000002</v>
      </c>
      <c r="G279" s="391">
        <v>3100000</v>
      </c>
      <c r="H279" s="391">
        <v>3000000</v>
      </c>
      <c r="I279" s="391"/>
      <c r="J279" s="391"/>
      <c r="K279" s="391"/>
      <c r="L279" s="487"/>
      <c r="M279" s="391">
        <f t="shared" si="54"/>
        <v>64381021.670000002</v>
      </c>
      <c r="N279" s="391"/>
      <c r="O279" s="391"/>
      <c r="P279" s="391"/>
      <c r="Q279" s="391"/>
      <c r="R279" s="409">
        <v>111743607.09</v>
      </c>
      <c r="S279" s="409">
        <f t="shared" si="55"/>
        <v>47362585.420000002</v>
      </c>
      <c r="T279" s="567">
        <v>279</v>
      </c>
    </row>
    <row r="280" spans="2:20" s="427" customFormat="1" ht="20.100000000000001" customHeight="1">
      <c r="B280" s="332">
        <v>70810</v>
      </c>
      <c r="C280" s="144" t="s">
        <v>683</v>
      </c>
      <c r="D280" s="391" t="s">
        <v>684</v>
      </c>
      <c r="E280" s="391">
        <f t="shared" si="53"/>
        <v>49400000</v>
      </c>
      <c r="F280" s="391"/>
      <c r="G280" s="391"/>
      <c r="H280" s="391"/>
      <c r="I280" s="391">
        <v>49400000</v>
      </c>
      <c r="J280" s="391"/>
      <c r="K280" s="391"/>
      <c r="L280" s="487"/>
      <c r="M280" s="391">
        <f t="shared" si="54"/>
        <v>49400000</v>
      </c>
      <c r="N280" s="391"/>
      <c r="O280" s="391"/>
      <c r="P280" s="391"/>
      <c r="Q280" s="391"/>
      <c r="R280" s="409">
        <v>64600000</v>
      </c>
      <c r="S280" s="409">
        <f t="shared" si="55"/>
        <v>15200000</v>
      </c>
      <c r="T280" s="567">
        <v>280</v>
      </c>
    </row>
    <row r="281" spans="2:20" s="427" customFormat="1" ht="20.100000000000001" customHeight="1">
      <c r="B281" s="320"/>
      <c r="C281" s="311"/>
      <c r="D281" s="528" t="s">
        <v>1289</v>
      </c>
      <c r="E281" s="571">
        <f t="shared" ref="E281:M281" si="56">SUM(E272:E280)</f>
        <v>235852320.84</v>
      </c>
      <c r="F281" s="571">
        <f t="shared" si="56"/>
        <v>58281021.670000002</v>
      </c>
      <c r="G281" s="571">
        <f t="shared" si="56"/>
        <v>5680000</v>
      </c>
      <c r="H281" s="571">
        <f t="shared" si="56"/>
        <v>122491299.17</v>
      </c>
      <c r="I281" s="571">
        <f t="shared" si="56"/>
        <v>49400000</v>
      </c>
      <c r="J281" s="571">
        <f t="shared" si="56"/>
        <v>0</v>
      </c>
      <c r="K281" s="571">
        <f t="shared" si="56"/>
        <v>0</v>
      </c>
      <c r="L281" s="571">
        <f t="shared" si="56"/>
        <v>223650</v>
      </c>
      <c r="M281" s="571">
        <f t="shared" si="56"/>
        <v>236075970.84</v>
      </c>
      <c r="N281" s="571"/>
      <c r="O281" s="571"/>
      <c r="P281" s="571"/>
      <c r="Q281" s="571"/>
      <c r="R281" s="571">
        <f>SUM(R272:R280)</f>
        <v>196593974.72</v>
      </c>
      <c r="S281" s="571">
        <f>SUM(S272:S280)</f>
        <v>-39481996.120000005</v>
      </c>
      <c r="T281" s="567">
        <v>281</v>
      </c>
    </row>
    <row r="282" spans="2:20" s="427" customFormat="1" ht="20.100000000000001" customHeight="1">
      <c r="B282" s="332">
        <v>70820</v>
      </c>
      <c r="C282" s="144" t="s">
        <v>551</v>
      </c>
      <c r="D282" s="391" t="s">
        <v>1290</v>
      </c>
      <c r="E282" s="391">
        <f t="shared" ref="E282:E291" si="57">F282+G282+H282+I282+J282+K282</f>
        <v>0</v>
      </c>
      <c r="F282" s="391"/>
      <c r="G282" s="391"/>
      <c r="H282" s="391"/>
      <c r="I282" s="391"/>
      <c r="J282" s="391"/>
      <c r="K282" s="391"/>
      <c r="L282" s="487"/>
      <c r="M282" s="391">
        <f t="shared" si="54"/>
        <v>0</v>
      </c>
      <c r="N282" s="391"/>
      <c r="O282" s="391"/>
      <c r="P282" s="391"/>
      <c r="Q282" s="391"/>
      <c r="R282" s="409">
        <v>0</v>
      </c>
      <c r="S282" s="409">
        <f t="shared" si="55"/>
        <v>0</v>
      </c>
      <c r="T282" s="567">
        <v>282</v>
      </c>
    </row>
    <row r="283" spans="2:20" s="427" customFormat="1" ht="20.100000000000001" customHeight="1">
      <c r="B283" s="332">
        <v>70820</v>
      </c>
      <c r="C283" s="144" t="s">
        <v>551</v>
      </c>
      <c r="D283" s="391" t="s">
        <v>1291</v>
      </c>
      <c r="E283" s="391">
        <f t="shared" si="57"/>
        <v>0</v>
      </c>
      <c r="F283" s="391"/>
      <c r="G283" s="391"/>
      <c r="H283" s="391"/>
      <c r="I283" s="391"/>
      <c r="J283" s="391"/>
      <c r="K283" s="391"/>
      <c r="L283" s="487"/>
      <c r="M283" s="391">
        <f t="shared" si="54"/>
        <v>0</v>
      </c>
      <c r="N283" s="391"/>
      <c r="O283" s="391"/>
      <c r="P283" s="391"/>
      <c r="Q283" s="391"/>
      <c r="R283" s="409"/>
      <c r="S283" s="409">
        <f t="shared" si="55"/>
        <v>0</v>
      </c>
      <c r="T283" s="567">
        <v>283</v>
      </c>
    </row>
    <row r="284" spans="2:20" s="427" customFormat="1" ht="20.100000000000001" customHeight="1">
      <c r="B284" s="332">
        <v>70820</v>
      </c>
      <c r="C284" s="144" t="s">
        <v>551</v>
      </c>
      <c r="D284" s="391" t="s">
        <v>825</v>
      </c>
      <c r="E284" s="391">
        <f t="shared" si="57"/>
        <v>1650000</v>
      </c>
      <c r="F284" s="391"/>
      <c r="G284" s="391">
        <v>1650000</v>
      </c>
      <c r="H284" s="391"/>
      <c r="I284" s="391"/>
      <c r="J284" s="391"/>
      <c r="K284" s="391"/>
      <c r="L284" s="487"/>
      <c r="M284" s="391">
        <f t="shared" si="54"/>
        <v>1650000</v>
      </c>
      <c r="N284" s="391"/>
      <c r="O284" s="391"/>
      <c r="P284" s="391"/>
      <c r="Q284" s="391"/>
      <c r="R284" s="409">
        <v>3551267.63</v>
      </c>
      <c r="S284" s="409">
        <f t="shared" si="55"/>
        <v>1901267.63</v>
      </c>
      <c r="T284" s="567">
        <v>284</v>
      </c>
    </row>
    <row r="285" spans="2:20" s="427" customFormat="1" ht="20.100000000000001" customHeight="1">
      <c r="B285" s="332">
        <v>70820</v>
      </c>
      <c r="C285" s="144" t="s">
        <v>553</v>
      </c>
      <c r="D285" s="391" t="s">
        <v>554</v>
      </c>
      <c r="E285" s="391">
        <f t="shared" si="57"/>
        <v>1540000</v>
      </c>
      <c r="F285" s="391"/>
      <c r="G285" s="391">
        <v>1540000</v>
      </c>
      <c r="H285" s="391"/>
      <c r="I285" s="391"/>
      <c r="J285" s="391"/>
      <c r="K285" s="391"/>
      <c r="L285" s="487"/>
      <c r="M285" s="391">
        <f t="shared" si="54"/>
        <v>1540000</v>
      </c>
      <c r="N285" s="391"/>
      <c r="O285" s="391"/>
      <c r="P285" s="391"/>
      <c r="Q285" s="391"/>
      <c r="R285" s="409">
        <v>3675709.49</v>
      </c>
      <c r="S285" s="409">
        <f t="shared" si="55"/>
        <v>2135709.4900000002</v>
      </c>
      <c r="T285" s="567">
        <v>285</v>
      </c>
    </row>
    <row r="286" spans="2:20" s="427" customFormat="1" ht="20.100000000000001" customHeight="1">
      <c r="B286" s="332">
        <v>70820</v>
      </c>
      <c r="C286" s="144" t="s">
        <v>213</v>
      </c>
      <c r="D286" s="391" t="s">
        <v>214</v>
      </c>
      <c r="E286" s="391">
        <f t="shared" si="57"/>
        <v>70703003.450000003</v>
      </c>
      <c r="F286" s="391">
        <v>69163003.450000003</v>
      </c>
      <c r="G286" s="391">
        <v>1540000</v>
      </c>
      <c r="H286" s="391"/>
      <c r="I286" s="391"/>
      <c r="J286" s="391"/>
      <c r="K286" s="391"/>
      <c r="L286" s="487"/>
      <c r="M286" s="391">
        <f t="shared" si="54"/>
        <v>70703003.450000003</v>
      </c>
      <c r="N286" s="391"/>
      <c r="O286" s="391"/>
      <c r="P286" s="391"/>
      <c r="Q286" s="391"/>
      <c r="R286" s="409">
        <v>179070900.50999999</v>
      </c>
      <c r="S286" s="409">
        <f t="shared" si="55"/>
        <v>108367897.05999999</v>
      </c>
      <c r="T286" s="567">
        <v>286</v>
      </c>
    </row>
    <row r="287" spans="2:20" s="427" customFormat="1" ht="22.5" customHeight="1">
      <c r="B287" s="332">
        <v>70820</v>
      </c>
      <c r="C287" s="144" t="s">
        <v>325</v>
      </c>
      <c r="D287" s="391" t="s">
        <v>326</v>
      </c>
      <c r="E287" s="391">
        <f t="shared" si="57"/>
        <v>67545263.25999999</v>
      </c>
      <c r="F287" s="391">
        <v>65785263.259999998</v>
      </c>
      <c r="G287" s="391">
        <v>1760000</v>
      </c>
      <c r="H287" s="391"/>
      <c r="I287" s="391"/>
      <c r="J287" s="391"/>
      <c r="K287" s="391"/>
      <c r="L287" s="487">
        <v>12103000</v>
      </c>
      <c r="M287" s="391">
        <f t="shared" si="54"/>
        <v>79648263.25999999</v>
      </c>
      <c r="N287" s="391"/>
      <c r="O287" s="391"/>
      <c r="P287" s="391"/>
      <c r="Q287" s="391"/>
      <c r="R287" s="409">
        <v>502860942.67000002</v>
      </c>
      <c r="S287" s="409">
        <f t="shared" si="55"/>
        <v>423212679.41000003</v>
      </c>
      <c r="T287" s="567">
        <v>287</v>
      </c>
    </row>
    <row r="288" spans="2:20" s="427" customFormat="1" ht="20.100000000000001" customHeight="1">
      <c r="B288" s="332">
        <v>70820</v>
      </c>
      <c r="C288" s="144" t="s">
        <v>1292</v>
      </c>
      <c r="D288" s="391" t="s">
        <v>607</v>
      </c>
      <c r="E288" s="391">
        <f t="shared" si="57"/>
        <v>660000</v>
      </c>
      <c r="F288" s="391"/>
      <c r="G288" s="391">
        <v>660000</v>
      </c>
      <c r="H288" s="391"/>
      <c r="I288" s="391"/>
      <c r="J288" s="391"/>
      <c r="K288" s="391"/>
      <c r="L288" s="487"/>
      <c r="M288" s="391">
        <f t="shared" si="54"/>
        <v>660000</v>
      </c>
      <c r="N288" s="391"/>
      <c r="O288" s="391"/>
      <c r="P288" s="391"/>
      <c r="Q288" s="391"/>
      <c r="R288" s="409">
        <v>1585460.29</v>
      </c>
      <c r="S288" s="409">
        <f t="shared" si="55"/>
        <v>925460.29</v>
      </c>
      <c r="T288" s="567">
        <v>288</v>
      </c>
    </row>
    <row r="289" spans="2:20" s="427" customFormat="1" ht="20.100000000000001" customHeight="1">
      <c r="B289" s="332">
        <v>70820</v>
      </c>
      <c r="C289" s="144" t="s">
        <v>609</v>
      </c>
      <c r="D289" s="391" t="s">
        <v>610</v>
      </c>
      <c r="E289" s="391">
        <f t="shared" si="57"/>
        <v>2600000</v>
      </c>
      <c r="F289" s="391"/>
      <c r="G289" s="391">
        <v>2600000</v>
      </c>
      <c r="H289" s="391"/>
      <c r="I289" s="391"/>
      <c r="J289" s="391"/>
      <c r="K289" s="391"/>
      <c r="L289" s="487"/>
      <c r="M289" s="391">
        <f t="shared" si="54"/>
        <v>2600000</v>
      </c>
      <c r="N289" s="391"/>
      <c r="O289" s="391"/>
      <c r="P289" s="391"/>
      <c r="Q289" s="391"/>
      <c r="R289" s="409">
        <v>13968638.529999999</v>
      </c>
      <c r="S289" s="409">
        <f t="shared" si="55"/>
        <v>11368638.529999999</v>
      </c>
      <c r="T289" s="567">
        <v>289</v>
      </c>
    </row>
    <row r="290" spans="2:20" s="427" customFormat="1" ht="20.100000000000001" customHeight="1">
      <c r="B290" s="332">
        <v>70820</v>
      </c>
      <c r="C290" s="144" t="s">
        <v>617</v>
      </c>
      <c r="D290" s="391" t="s">
        <v>618</v>
      </c>
      <c r="E290" s="391">
        <f t="shared" si="57"/>
        <v>11715784</v>
      </c>
      <c r="F290" s="391"/>
      <c r="G290" s="391">
        <v>11715784</v>
      </c>
      <c r="H290" s="391"/>
      <c r="I290" s="391"/>
      <c r="J290" s="391"/>
      <c r="K290" s="391"/>
      <c r="L290" s="487"/>
      <c r="M290" s="391">
        <f t="shared" si="54"/>
        <v>11715784</v>
      </c>
      <c r="N290" s="391"/>
      <c r="O290" s="391"/>
      <c r="P290" s="391"/>
      <c r="Q290" s="391"/>
      <c r="R290" s="409">
        <v>14000000</v>
      </c>
      <c r="S290" s="409">
        <f t="shared" si="55"/>
        <v>2284216</v>
      </c>
      <c r="T290" s="567">
        <v>290</v>
      </c>
    </row>
    <row r="291" spans="2:20" s="427" customFormat="1" ht="20.100000000000001" customHeight="1">
      <c r="B291" s="332"/>
      <c r="C291" s="144"/>
      <c r="D291" s="391" t="s">
        <v>1335</v>
      </c>
      <c r="E291" s="391">
        <f t="shared" si="57"/>
        <v>0</v>
      </c>
      <c r="F291" s="391"/>
      <c r="G291" s="391"/>
      <c r="H291" s="391"/>
      <c r="I291" s="391"/>
      <c r="J291" s="93"/>
      <c r="K291" s="391"/>
      <c r="L291" s="487"/>
      <c r="M291" s="391">
        <f t="shared" si="54"/>
        <v>0</v>
      </c>
      <c r="N291" s="391"/>
      <c r="O291" s="391"/>
      <c r="P291" s="391"/>
      <c r="Q291" s="391"/>
      <c r="R291" s="409"/>
      <c r="S291" s="409">
        <f t="shared" si="55"/>
        <v>0</v>
      </c>
      <c r="T291" s="567">
        <v>291</v>
      </c>
    </row>
    <row r="292" spans="2:20" s="427" customFormat="1" ht="20.100000000000001" customHeight="1">
      <c r="B292" s="320"/>
      <c r="C292" s="311"/>
      <c r="D292" s="528" t="s">
        <v>1293</v>
      </c>
      <c r="E292" s="571">
        <f t="shared" ref="E292:M292" si="58">SUM(E282:E291)</f>
        <v>156414050.70999998</v>
      </c>
      <c r="F292" s="571">
        <f t="shared" si="58"/>
        <v>134948266.71000001</v>
      </c>
      <c r="G292" s="571">
        <f t="shared" si="58"/>
        <v>21465784</v>
      </c>
      <c r="H292" s="571">
        <f t="shared" si="58"/>
        <v>0</v>
      </c>
      <c r="I292" s="571">
        <f t="shared" si="58"/>
        <v>0</v>
      </c>
      <c r="J292" s="571">
        <f t="shared" si="58"/>
        <v>0</v>
      </c>
      <c r="K292" s="571">
        <f t="shared" si="58"/>
        <v>0</v>
      </c>
      <c r="L292" s="571">
        <f t="shared" si="58"/>
        <v>12103000</v>
      </c>
      <c r="M292" s="571">
        <f t="shared" si="58"/>
        <v>168517050.70999998</v>
      </c>
      <c r="N292" s="571"/>
      <c r="O292" s="571"/>
      <c r="P292" s="571"/>
      <c r="Q292" s="571"/>
      <c r="R292" s="571">
        <f>SUM(R282:R291)</f>
        <v>718712919.11999989</v>
      </c>
      <c r="S292" s="571">
        <f>SUM(S282:S291)</f>
        <v>550195868.41000009</v>
      </c>
      <c r="T292" s="567">
        <v>292</v>
      </c>
    </row>
    <row r="293" spans="2:20" s="427" customFormat="1" ht="20.100000000000001" customHeight="1">
      <c r="B293" s="332">
        <v>70830</v>
      </c>
      <c r="C293" s="144" t="s">
        <v>416</v>
      </c>
      <c r="D293" s="391" t="s">
        <v>417</v>
      </c>
      <c r="E293" s="391">
        <f>F293+G293+H293+I293+J293+K293</f>
        <v>0</v>
      </c>
      <c r="F293" s="391"/>
      <c r="G293" s="391"/>
      <c r="H293" s="391"/>
      <c r="I293" s="391"/>
      <c r="J293" s="391"/>
      <c r="K293" s="391"/>
      <c r="L293" s="487"/>
      <c r="M293" s="391">
        <f t="shared" si="54"/>
        <v>0</v>
      </c>
      <c r="N293" s="391"/>
      <c r="O293" s="391"/>
      <c r="P293" s="391"/>
      <c r="Q293" s="391"/>
      <c r="R293" s="409">
        <v>1500000</v>
      </c>
      <c r="S293" s="409">
        <f t="shared" si="55"/>
        <v>1500000</v>
      </c>
      <c r="T293" s="567">
        <v>293</v>
      </c>
    </row>
    <row r="294" spans="2:20" s="427" customFormat="1" ht="20.100000000000001" customHeight="1">
      <c r="B294" s="320"/>
      <c r="C294" s="311"/>
      <c r="D294" s="528" t="s">
        <v>1294</v>
      </c>
      <c r="E294" s="571">
        <f t="shared" ref="E294:M294" si="59">E293</f>
        <v>0</v>
      </c>
      <c r="F294" s="571">
        <f t="shared" si="59"/>
        <v>0</v>
      </c>
      <c r="G294" s="571">
        <f t="shared" si="59"/>
        <v>0</v>
      </c>
      <c r="H294" s="571">
        <f t="shared" si="59"/>
        <v>0</v>
      </c>
      <c r="I294" s="571">
        <f t="shared" si="59"/>
        <v>0</v>
      </c>
      <c r="J294" s="571">
        <f t="shared" si="59"/>
        <v>0</v>
      </c>
      <c r="K294" s="571">
        <f t="shared" si="59"/>
        <v>0</v>
      </c>
      <c r="L294" s="571">
        <f t="shared" si="59"/>
        <v>0</v>
      </c>
      <c r="M294" s="571">
        <f t="shared" si="59"/>
        <v>0</v>
      </c>
      <c r="N294" s="571"/>
      <c r="O294" s="571"/>
      <c r="P294" s="571"/>
      <c r="Q294" s="571"/>
      <c r="R294" s="571">
        <f>R293</f>
        <v>1500000</v>
      </c>
      <c r="S294" s="571">
        <f>S293</f>
        <v>1500000</v>
      </c>
      <c r="T294" s="567">
        <v>294</v>
      </c>
    </row>
    <row r="295" spans="2:20" s="427" customFormat="1" ht="20.100000000000001" customHeight="1">
      <c r="B295" s="332">
        <v>70840</v>
      </c>
      <c r="C295" s="144" t="s">
        <v>117</v>
      </c>
      <c r="D295" s="391" t="s">
        <v>118</v>
      </c>
      <c r="E295" s="391">
        <f>F295+G295+H295+I295+J295+K295</f>
        <v>10246017.800000001</v>
      </c>
      <c r="F295" s="391">
        <v>9766017.8000000007</v>
      </c>
      <c r="G295" s="391">
        <v>480000</v>
      </c>
      <c r="H295" s="391"/>
      <c r="I295" s="391"/>
      <c r="J295" s="391"/>
      <c r="K295" s="391"/>
      <c r="L295" s="487"/>
      <c r="M295" s="391">
        <f t="shared" si="54"/>
        <v>10246017.800000001</v>
      </c>
      <c r="N295" s="391"/>
      <c r="O295" s="391"/>
      <c r="P295" s="391"/>
      <c r="Q295" s="391"/>
      <c r="R295" s="409">
        <v>41706254.409999996</v>
      </c>
      <c r="S295" s="409">
        <f t="shared" si="55"/>
        <v>31460236.609999996</v>
      </c>
      <c r="T295" s="567">
        <v>295</v>
      </c>
    </row>
    <row r="296" spans="2:20" s="427" customFormat="1" ht="20.100000000000001" customHeight="1">
      <c r="B296" s="332">
        <v>70840</v>
      </c>
      <c r="C296" s="144" t="s">
        <v>120</v>
      </c>
      <c r="D296" s="391" t="s">
        <v>121</v>
      </c>
      <c r="E296" s="391">
        <f>F296+G296+H296+I296+J296+K296</f>
        <v>14234479.6</v>
      </c>
      <c r="F296" s="391">
        <v>13794479.6</v>
      </c>
      <c r="G296" s="391">
        <v>440000</v>
      </c>
      <c r="H296" s="391"/>
      <c r="I296" s="391"/>
      <c r="J296" s="391"/>
      <c r="K296" s="391"/>
      <c r="L296" s="487"/>
      <c r="M296" s="391">
        <f t="shared" si="54"/>
        <v>14234479.6</v>
      </c>
      <c r="N296" s="391"/>
      <c r="O296" s="391"/>
      <c r="P296" s="391"/>
      <c r="Q296" s="391"/>
      <c r="R296" s="409">
        <v>46393964.700000003</v>
      </c>
      <c r="S296" s="409">
        <f t="shared" si="55"/>
        <v>32159485.100000001</v>
      </c>
      <c r="T296" s="567">
        <v>296</v>
      </c>
    </row>
    <row r="297" spans="2:20" s="427" customFormat="1" ht="20.100000000000001" customHeight="1">
      <c r="B297" s="320"/>
      <c r="C297" s="311"/>
      <c r="D297" s="528" t="s">
        <v>1295</v>
      </c>
      <c r="E297" s="571">
        <f t="shared" ref="E297:S297" si="60">SUM(E295:E296)</f>
        <v>24480497.399999999</v>
      </c>
      <c r="F297" s="571">
        <f t="shared" si="60"/>
        <v>23560497.399999999</v>
      </c>
      <c r="G297" s="571">
        <f t="shared" si="60"/>
        <v>920000</v>
      </c>
      <c r="H297" s="571">
        <f t="shared" si="60"/>
        <v>0</v>
      </c>
      <c r="I297" s="571">
        <f t="shared" si="60"/>
        <v>0</v>
      </c>
      <c r="J297" s="571">
        <f t="shared" si="60"/>
        <v>0</v>
      </c>
      <c r="K297" s="571">
        <f t="shared" si="60"/>
        <v>0</v>
      </c>
      <c r="L297" s="571">
        <f t="shared" si="60"/>
        <v>0</v>
      </c>
      <c r="M297" s="571">
        <f t="shared" si="60"/>
        <v>24480497.399999999</v>
      </c>
      <c r="N297" s="571"/>
      <c r="O297" s="571"/>
      <c r="P297" s="571"/>
      <c r="Q297" s="571"/>
      <c r="R297" s="571">
        <f t="shared" si="60"/>
        <v>88100219.109999999</v>
      </c>
      <c r="S297" s="571">
        <f t="shared" si="60"/>
        <v>63619721.709999993</v>
      </c>
      <c r="T297" s="567">
        <v>297</v>
      </c>
    </row>
    <row r="298" spans="2:20" s="427" customFormat="1" ht="20.100000000000001" customHeight="1">
      <c r="B298" s="320"/>
      <c r="C298" s="311"/>
      <c r="D298" s="528" t="s">
        <v>335</v>
      </c>
      <c r="E298" s="571">
        <f t="shared" ref="E298:M298" si="61">E297+E294+E292+E281</f>
        <v>416746868.94999999</v>
      </c>
      <c r="F298" s="571">
        <f t="shared" si="61"/>
        <v>216789785.78000003</v>
      </c>
      <c r="G298" s="571">
        <f t="shared" si="61"/>
        <v>28065784</v>
      </c>
      <c r="H298" s="571">
        <f t="shared" si="61"/>
        <v>122491299.17</v>
      </c>
      <c r="I298" s="571">
        <f t="shared" si="61"/>
        <v>49400000</v>
      </c>
      <c r="J298" s="571">
        <f t="shared" si="61"/>
        <v>0</v>
      </c>
      <c r="K298" s="571">
        <f t="shared" si="61"/>
        <v>0</v>
      </c>
      <c r="L298" s="571">
        <f t="shared" si="61"/>
        <v>12326650</v>
      </c>
      <c r="M298" s="571">
        <f t="shared" si="61"/>
        <v>429073518.94999999</v>
      </c>
      <c r="N298" s="571"/>
      <c r="O298" s="571"/>
      <c r="P298" s="571"/>
      <c r="Q298" s="571"/>
      <c r="R298" s="571">
        <f>R297+R294+R292+R281</f>
        <v>1004907112.9499999</v>
      </c>
      <c r="S298" s="571">
        <f>S297+S294+S292+S281</f>
        <v>575833594.00000012</v>
      </c>
      <c r="T298" s="567">
        <v>298</v>
      </c>
    </row>
    <row r="299" spans="2:20" s="427" customFormat="1" ht="20.100000000000001" customHeight="1">
      <c r="B299" s="332"/>
      <c r="C299" s="144"/>
      <c r="D299" s="528" t="s">
        <v>1296</v>
      </c>
      <c r="E299" s="391">
        <f>F299+G299+H299+I299+J299+K299</f>
        <v>0</v>
      </c>
      <c r="F299" s="391"/>
      <c r="G299" s="391"/>
      <c r="H299" s="391"/>
      <c r="I299" s="391"/>
      <c r="J299" s="391"/>
      <c r="K299" s="391"/>
      <c r="L299" s="487"/>
      <c r="M299" s="391">
        <f t="shared" si="54"/>
        <v>0</v>
      </c>
      <c r="N299" s="391"/>
      <c r="O299" s="391"/>
      <c r="P299" s="391"/>
      <c r="Q299" s="391"/>
      <c r="R299" s="409"/>
      <c r="S299" s="409">
        <f t="shared" si="55"/>
        <v>0</v>
      </c>
      <c r="T299" s="567">
        <v>299</v>
      </c>
    </row>
    <row r="300" spans="2:20" s="427" customFormat="1" ht="20.100000000000001" customHeight="1">
      <c r="B300" s="332">
        <v>70912</v>
      </c>
      <c r="C300" s="144" t="s">
        <v>272</v>
      </c>
      <c r="D300" s="391" t="s">
        <v>273</v>
      </c>
      <c r="E300" s="391">
        <f>F300+G300+H300+I300+J300+K300</f>
        <v>515963353.48000002</v>
      </c>
      <c r="F300" s="391">
        <f>385321309.67+108158543.81</f>
        <v>493479853.48000002</v>
      </c>
      <c r="G300" s="391">
        <v>22483500</v>
      </c>
      <c r="H300" s="391"/>
      <c r="I300" s="391"/>
      <c r="J300" s="391"/>
      <c r="K300" s="391"/>
      <c r="L300" s="487">
        <v>68035667.120000005</v>
      </c>
      <c r="M300" s="391">
        <f t="shared" si="54"/>
        <v>583999020.60000002</v>
      </c>
      <c r="N300" s="391"/>
      <c r="O300" s="391"/>
      <c r="P300" s="391"/>
      <c r="Q300" s="391"/>
      <c r="R300" s="409">
        <v>2535496626.3200002</v>
      </c>
      <c r="S300" s="409">
        <f t="shared" si="55"/>
        <v>1951497605.7200003</v>
      </c>
      <c r="T300" s="567">
        <v>300</v>
      </c>
    </row>
    <row r="301" spans="2:20" s="427" customFormat="1" ht="20.100000000000001" customHeight="1">
      <c r="B301" s="332">
        <v>70912</v>
      </c>
      <c r="C301" s="144"/>
      <c r="D301" s="391" t="s">
        <v>1325</v>
      </c>
      <c r="E301" s="391">
        <f>F301+G301+H301+I301+J301+K301</f>
        <v>0</v>
      </c>
      <c r="F301" s="391"/>
      <c r="G301" s="391"/>
      <c r="H301" s="391"/>
      <c r="I301" s="391"/>
      <c r="J301" s="391"/>
      <c r="K301" s="391"/>
      <c r="L301" s="487"/>
      <c r="M301" s="391">
        <f t="shared" si="54"/>
        <v>0</v>
      </c>
      <c r="N301" s="391"/>
      <c r="O301" s="391"/>
      <c r="P301" s="391"/>
      <c r="Q301" s="391"/>
      <c r="R301" s="409">
        <v>0</v>
      </c>
      <c r="S301" s="409">
        <f t="shared" si="55"/>
        <v>0</v>
      </c>
      <c r="T301" s="567">
        <v>301</v>
      </c>
    </row>
    <row r="302" spans="2:20" s="427" customFormat="1" ht="20.100000000000001" customHeight="1">
      <c r="B302" s="332">
        <v>70912</v>
      </c>
      <c r="C302" s="144"/>
      <c r="D302" s="391" t="s">
        <v>615</v>
      </c>
      <c r="E302" s="391">
        <f>F302+G302+H302+I302+J302+K302</f>
        <v>500000</v>
      </c>
      <c r="F302" s="391"/>
      <c r="G302" s="391">
        <v>500000</v>
      </c>
      <c r="H302" s="391"/>
      <c r="I302" s="391"/>
      <c r="J302" s="391"/>
      <c r="K302" s="391"/>
      <c r="L302" s="487"/>
      <c r="M302" s="391">
        <f t="shared" si="54"/>
        <v>500000</v>
      </c>
      <c r="N302" s="391"/>
      <c r="O302" s="391"/>
      <c r="P302" s="391"/>
      <c r="Q302" s="391"/>
      <c r="R302" s="409">
        <v>2000000</v>
      </c>
      <c r="S302" s="409">
        <f t="shared" si="55"/>
        <v>1500000</v>
      </c>
      <c r="T302" s="567">
        <v>302</v>
      </c>
    </row>
    <row r="303" spans="2:20" s="427" customFormat="1" ht="20.100000000000001" customHeight="1">
      <c r="B303" s="320"/>
      <c r="C303" s="311"/>
      <c r="D303" s="528" t="s">
        <v>1297</v>
      </c>
      <c r="E303" s="571">
        <f t="shared" ref="E303:M303" si="62">SUM(E300:E302)</f>
        <v>516463353.48000002</v>
      </c>
      <c r="F303" s="571">
        <f t="shared" si="62"/>
        <v>493479853.48000002</v>
      </c>
      <c r="G303" s="571">
        <f t="shared" si="62"/>
        <v>22983500</v>
      </c>
      <c r="H303" s="571">
        <f t="shared" si="62"/>
        <v>0</v>
      </c>
      <c r="I303" s="571">
        <f t="shared" si="62"/>
        <v>0</v>
      </c>
      <c r="J303" s="571">
        <f t="shared" si="62"/>
        <v>0</v>
      </c>
      <c r="K303" s="571">
        <f t="shared" si="62"/>
        <v>0</v>
      </c>
      <c r="L303" s="571">
        <f t="shared" si="62"/>
        <v>68035667.120000005</v>
      </c>
      <c r="M303" s="571">
        <f t="shared" si="62"/>
        <v>584499020.60000002</v>
      </c>
      <c r="N303" s="571"/>
      <c r="O303" s="571"/>
      <c r="P303" s="571"/>
      <c r="Q303" s="571"/>
      <c r="R303" s="571">
        <f>SUM(R300:R302)</f>
        <v>2537496626.3200002</v>
      </c>
      <c r="S303" s="571">
        <f>SUM(S300:S302)</f>
        <v>1952997605.7200003</v>
      </c>
      <c r="T303" s="567">
        <v>303</v>
      </c>
    </row>
    <row r="304" spans="2:20" s="427" customFormat="1" ht="20.100000000000001" customHeight="1">
      <c r="B304" s="332" t="s">
        <v>1309</v>
      </c>
      <c r="C304" s="144"/>
      <c r="D304" s="391" t="s">
        <v>1298</v>
      </c>
      <c r="E304" s="391">
        <f>F304+G304+H304+I304+J304+K304</f>
        <v>9087484631.5700016</v>
      </c>
      <c r="F304" s="391">
        <f>8774312248.29+313172383.28</f>
        <v>9087484631.5700016</v>
      </c>
      <c r="G304" s="391"/>
      <c r="H304" s="391"/>
      <c r="I304" s="391"/>
      <c r="J304" s="391"/>
      <c r="K304" s="391"/>
      <c r="L304" s="487"/>
      <c r="M304" s="391">
        <f t="shared" si="54"/>
        <v>9087484631.5700016</v>
      </c>
      <c r="N304" s="391"/>
      <c r="O304" s="391"/>
      <c r="P304" s="391"/>
      <c r="Q304" s="391"/>
      <c r="R304" s="409">
        <v>10417789428.889999</v>
      </c>
      <c r="S304" s="409">
        <f t="shared" si="55"/>
        <v>1330304797.3199978</v>
      </c>
      <c r="T304" s="567">
        <v>304</v>
      </c>
    </row>
    <row r="305" spans="2:20" s="427" customFormat="1" ht="20.100000000000001" customHeight="1">
      <c r="B305" s="320"/>
      <c r="C305" s="311"/>
      <c r="D305" s="528" t="s">
        <v>1299</v>
      </c>
      <c r="E305" s="571">
        <f t="shared" ref="E305:M305" si="63">SUM(E304)</f>
        <v>9087484631.5700016</v>
      </c>
      <c r="F305" s="571">
        <f t="shared" si="63"/>
        <v>9087484631.5700016</v>
      </c>
      <c r="G305" s="571">
        <f t="shared" si="63"/>
        <v>0</v>
      </c>
      <c r="H305" s="571">
        <f t="shared" si="63"/>
        <v>0</v>
      </c>
      <c r="I305" s="571">
        <f t="shared" si="63"/>
        <v>0</v>
      </c>
      <c r="J305" s="571">
        <f t="shared" si="63"/>
        <v>0</v>
      </c>
      <c r="K305" s="571">
        <f t="shared" si="63"/>
        <v>0</v>
      </c>
      <c r="L305" s="571">
        <f t="shared" si="63"/>
        <v>0</v>
      </c>
      <c r="M305" s="571">
        <f t="shared" si="63"/>
        <v>9087484631.5700016</v>
      </c>
      <c r="N305" s="571"/>
      <c r="O305" s="571"/>
      <c r="P305" s="571"/>
      <c r="Q305" s="571"/>
      <c r="R305" s="571">
        <f>SUM(R304)</f>
        <v>10417789428.889999</v>
      </c>
      <c r="S305" s="571">
        <f>SUM(S304)</f>
        <v>1330304797.3199978</v>
      </c>
      <c r="T305" s="567">
        <v>305</v>
      </c>
    </row>
    <row r="306" spans="2:20" s="427" customFormat="1" ht="20.100000000000001" customHeight="1">
      <c r="B306" s="332">
        <v>70941</v>
      </c>
      <c r="C306" s="144" t="s">
        <v>672</v>
      </c>
      <c r="D306" s="391" t="s">
        <v>673</v>
      </c>
      <c r="E306" s="391">
        <f>F306+G306+H306+I306+J306+K306</f>
        <v>2744703000</v>
      </c>
      <c r="F306" s="391"/>
      <c r="G306" s="391"/>
      <c r="H306" s="391"/>
      <c r="I306" s="391">
        <v>2744703000</v>
      </c>
      <c r="J306" s="391"/>
      <c r="K306" s="391"/>
      <c r="L306" s="487"/>
      <c r="M306" s="391">
        <f t="shared" si="54"/>
        <v>2744703000</v>
      </c>
      <c r="N306" s="391"/>
      <c r="O306" s="391"/>
      <c r="P306" s="391"/>
      <c r="Q306" s="391"/>
      <c r="R306" s="409">
        <v>4268921949.6100001</v>
      </c>
      <c r="S306" s="409">
        <f t="shared" si="55"/>
        <v>1524218949.6100001</v>
      </c>
      <c r="T306" s="567">
        <v>306</v>
      </c>
    </row>
    <row r="307" spans="2:20" s="427" customFormat="1" ht="20.100000000000001" customHeight="1">
      <c r="B307" s="320"/>
      <c r="C307" s="311"/>
      <c r="D307" s="528" t="s">
        <v>1300</v>
      </c>
      <c r="E307" s="571">
        <f>E306</f>
        <v>2744703000</v>
      </c>
      <c r="F307" s="571">
        <f t="shared" ref="F307:M307" si="64">F306</f>
        <v>0</v>
      </c>
      <c r="G307" s="571">
        <f t="shared" si="64"/>
        <v>0</v>
      </c>
      <c r="H307" s="571">
        <f t="shared" si="64"/>
        <v>0</v>
      </c>
      <c r="I307" s="571">
        <f t="shared" si="64"/>
        <v>2744703000</v>
      </c>
      <c r="J307" s="571">
        <f t="shared" si="64"/>
        <v>0</v>
      </c>
      <c r="K307" s="571">
        <f t="shared" si="64"/>
        <v>0</v>
      </c>
      <c r="L307" s="571">
        <f t="shared" si="64"/>
        <v>0</v>
      </c>
      <c r="M307" s="571">
        <f t="shared" si="64"/>
        <v>2744703000</v>
      </c>
      <c r="N307" s="571"/>
      <c r="O307" s="571"/>
      <c r="P307" s="571"/>
      <c r="Q307" s="571"/>
      <c r="R307" s="571">
        <f>R306</f>
        <v>4268921949.6100001</v>
      </c>
      <c r="S307" s="571">
        <f>S306</f>
        <v>1524218949.6100001</v>
      </c>
      <c r="T307" s="567">
        <v>307</v>
      </c>
    </row>
    <row r="308" spans="2:20" s="427" customFormat="1" ht="20.100000000000001" customHeight="1">
      <c r="B308" s="332">
        <v>70942</v>
      </c>
      <c r="C308" s="144" t="s">
        <v>675</v>
      </c>
      <c r="D308" s="391" t="s">
        <v>676</v>
      </c>
      <c r="E308" s="391">
        <f>F308+G308+H308+I308+J308+K308</f>
        <v>7306212296</v>
      </c>
      <c r="F308" s="391"/>
      <c r="G308" s="391"/>
      <c r="H308" s="391"/>
      <c r="I308" s="391">
        <v>7306212296</v>
      </c>
      <c r="J308" s="391"/>
      <c r="K308" s="391"/>
      <c r="L308" s="487"/>
      <c r="M308" s="391">
        <f t="shared" si="54"/>
        <v>7306212296</v>
      </c>
      <c r="N308" s="391"/>
      <c r="O308" s="391"/>
      <c r="P308" s="391"/>
      <c r="Q308" s="391"/>
      <c r="R308" s="409">
        <v>7451125264.1199999</v>
      </c>
      <c r="S308" s="409">
        <f t="shared" si="55"/>
        <v>144912968.11999989</v>
      </c>
      <c r="T308" s="567">
        <v>308</v>
      </c>
    </row>
    <row r="309" spans="2:20" s="427" customFormat="1" ht="20.100000000000001" customHeight="1">
      <c r="B309" s="320"/>
      <c r="C309" s="311"/>
      <c r="D309" s="528" t="s">
        <v>1301</v>
      </c>
      <c r="E309" s="528">
        <f t="shared" ref="E309:K309" si="65">E308</f>
        <v>7306212296</v>
      </c>
      <c r="F309" s="528">
        <f t="shared" si="65"/>
        <v>0</v>
      </c>
      <c r="G309" s="528">
        <f t="shared" si="65"/>
        <v>0</v>
      </c>
      <c r="H309" s="528">
        <f t="shared" si="65"/>
        <v>0</v>
      </c>
      <c r="I309" s="528">
        <f t="shared" si="65"/>
        <v>7306212296</v>
      </c>
      <c r="J309" s="528">
        <f t="shared" si="65"/>
        <v>0</v>
      </c>
      <c r="K309" s="528">
        <f t="shared" si="65"/>
        <v>0</v>
      </c>
      <c r="L309" s="528">
        <f>L308</f>
        <v>0</v>
      </c>
      <c r="M309" s="528">
        <f>M308</f>
        <v>7306212296</v>
      </c>
      <c r="N309" s="528"/>
      <c r="O309" s="528"/>
      <c r="P309" s="528"/>
      <c r="Q309" s="528"/>
      <c r="R309" s="571">
        <f>R308</f>
        <v>7451125264.1199999</v>
      </c>
      <c r="S309" s="571">
        <f>S308</f>
        <v>144912968.11999989</v>
      </c>
      <c r="T309" s="567">
        <v>309</v>
      </c>
    </row>
    <row r="310" spans="2:20" s="427" customFormat="1" ht="20.100000000000001" customHeight="1">
      <c r="B310" s="332">
        <v>70960</v>
      </c>
      <c r="C310" s="144" t="s">
        <v>536</v>
      </c>
      <c r="D310" s="391" t="s">
        <v>537</v>
      </c>
      <c r="E310" s="391">
        <f t="shared" ref="E310:E321" si="66">F310+G310+H310+I310+J310+K310</f>
        <v>650000</v>
      </c>
      <c r="F310" s="391"/>
      <c r="G310" s="391">
        <v>650000</v>
      </c>
      <c r="H310" s="391"/>
      <c r="I310" s="391"/>
      <c r="J310" s="391"/>
      <c r="K310" s="391"/>
      <c r="L310" s="487"/>
      <c r="M310" s="391">
        <f t="shared" si="54"/>
        <v>650000</v>
      </c>
      <c r="N310" s="391"/>
      <c r="O310" s="391"/>
      <c r="P310" s="391"/>
      <c r="Q310" s="391"/>
      <c r="R310" s="409">
        <v>2500000</v>
      </c>
      <c r="S310" s="409">
        <f t="shared" si="55"/>
        <v>1850000</v>
      </c>
      <c r="T310" s="567">
        <v>310</v>
      </c>
    </row>
    <row r="311" spans="2:20" s="427" customFormat="1" ht="20.100000000000001" customHeight="1">
      <c r="B311" s="332">
        <v>70960</v>
      </c>
      <c r="C311" s="144" t="s">
        <v>275</v>
      </c>
      <c r="D311" s="391" t="s">
        <v>276</v>
      </c>
      <c r="E311" s="391">
        <f t="shared" si="66"/>
        <v>14553595.68</v>
      </c>
      <c r="F311" s="391">
        <v>12573595.68</v>
      </c>
      <c r="G311" s="391">
        <v>1980000</v>
      </c>
      <c r="H311" s="391"/>
      <c r="I311" s="391"/>
      <c r="J311" s="391"/>
      <c r="K311" s="391"/>
      <c r="L311" s="487"/>
      <c r="M311" s="391">
        <f t="shared" si="54"/>
        <v>14553595.68</v>
      </c>
      <c r="N311" s="391"/>
      <c r="O311" s="391"/>
      <c r="P311" s="391"/>
      <c r="Q311" s="391"/>
      <c r="R311" s="409">
        <v>43083344.869999997</v>
      </c>
      <c r="S311" s="409">
        <f t="shared" si="55"/>
        <v>28529749.189999998</v>
      </c>
      <c r="T311" s="567">
        <v>311</v>
      </c>
    </row>
    <row r="312" spans="2:20" s="427" customFormat="1" ht="20.100000000000001" customHeight="1">
      <c r="B312" s="332">
        <v>70960</v>
      </c>
      <c r="C312" s="144" t="s">
        <v>1302</v>
      </c>
      <c r="D312" s="391" t="s">
        <v>1303</v>
      </c>
      <c r="E312" s="391">
        <f t="shared" si="66"/>
        <v>0</v>
      </c>
      <c r="F312" s="391"/>
      <c r="G312" s="391"/>
      <c r="H312" s="391"/>
      <c r="I312" s="391"/>
      <c r="J312" s="391"/>
      <c r="K312" s="391"/>
      <c r="L312" s="487"/>
      <c r="M312" s="391">
        <f t="shared" si="54"/>
        <v>0</v>
      </c>
      <c r="N312" s="391"/>
      <c r="O312" s="391"/>
      <c r="P312" s="391"/>
      <c r="Q312" s="391"/>
      <c r="R312" s="409"/>
      <c r="S312" s="409">
        <f t="shared" si="55"/>
        <v>0</v>
      </c>
      <c r="T312" s="567">
        <v>312</v>
      </c>
    </row>
    <row r="313" spans="2:20" s="427" customFormat="1" ht="20.100000000000001" customHeight="1">
      <c r="B313" s="332">
        <v>70960</v>
      </c>
      <c r="C313" s="144" t="s">
        <v>598</v>
      </c>
      <c r="D313" s="391" t="s">
        <v>1304</v>
      </c>
      <c r="E313" s="391">
        <f t="shared" si="66"/>
        <v>1200000</v>
      </c>
      <c r="F313" s="391"/>
      <c r="G313" s="391">
        <v>1200000</v>
      </c>
      <c r="H313" s="391"/>
      <c r="I313" s="391"/>
      <c r="J313" s="391"/>
      <c r="K313" s="391"/>
      <c r="L313" s="487"/>
      <c r="M313" s="391">
        <f t="shared" si="54"/>
        <v>1200000</v>
      </c>
      <c r="N313" s="391"/>
      <c r="O313" s="391"/>
      <c r="P313" s="391"/>
      <c r="Q313" s="391"/>
      <c r="R313" s="409">
        <v>2721352.14</v>
      </c>
      <c r="S313" s="409">
        <f t="shared" si="55"/>
        <v>1521352.1400000001</v>
      </c>
      <c r="T313" s="567">
        <v>313</v>
      </c>
    </row>
    <row r="314" spans="2:20" s="427" customFormat="1" ht="20.100000000000001" customHeight="1">
      <c r="B314" s="332">
        <v>70960</v>
      </c>
      <c r="C314" s="144"/>
      <c r="D314" s="391" t="s">
        <v>1305</v>
      </c>
      <c r="E314" s="391">
        <f t="shared" si="66"/>
        <v>0</v>
      </c>
      <c r="F314" s="391"/>
      <c r="G314" s="391"/>
      <c r="H314" s="391"/>
      <c r="I314" s="391"/>
      <c r="J314" s="391"/>
      <c r="K314" s="391"/>
      <c r="L314" s="487"/>
      <c r="M314" s="391">
        <f t="shared" si="54"/>
        <v>0</v>
      </c>
      <c r="N314" s="391"/>
      <c r="O314" s="391"/>
      <c r="P314" s="391"/>
      <c r="Q314" s="391"/>
      <c r="R314" s="409"/>
      <c r="S314" s="409">
        <f t="shared" si="55"/>
        <v>0</v>
      </c>
      <c r="T314" s="567">
        <v>314</v>
      </c>
    </row>
    <row r="315" spans="2:20" s="427" customFormat="1" ht="20.100000000000001" customHeight="1">
      <c r="B315" s="332">
        <v>70960</v>
      </c>
      <c r="C315" s="144" t="s">
        <v>613</v>
      </c>
      <c r="D315" s="391" t="s">
        <v>1326</v>
      </c>
      <c r="E315" s="391">
        <f t="shared" si="66"/>
        <v>550000</v>
      </c>
      <c r="F315" s="391"/>
      <c r="G315" s="391">
        <v>550000</v>
      </c>
      <c r="H315" s="391"/>
      <c r="I315" s="391"/>
      <c r="J315" s="391"/>
      <c r="K315" s="391"/>
      <c r="L315" s="487"/>
      <c r="M315" s="391">
        <f t="shared" si="54"/>
        <v>550000</v>
      </c>
      <c r="N315" s="391"/>
      <c r="O315" s="391"/>
      <c r="P315" s="391"/>
      <c r="Q315" s="391"/>
      <c r="R315" s="409">
        <v>2000000</v>
      </c>
      <c r="S315" s="409">
        <f t="shared" si="55"/>
        <v>1450000</v>
      </c>
      <c r="T315" s="567">
        <v>315</v>
      </c>
    </row>
    <row r="316" spans="2:20" s="427" customFormat="1" ht="20.100000000000001" customHeight="1">
      <c r="B316" s="332">
        <v>70960</v>
      </c>
      <c r="C316" s="144" t="s">
        <v>282</v>
      </c>
      <c r="D316" s="391" t="s">
        <v>2020</v>
      </c>
      <c r="E316" s="391">
        <f t="shared" si="66"/>
        <v>164942865.88</v>
      </c>
      <c r="F316" s="391">
        <v>151122865.88</v>
      </c>
      <c r="G316" s="391">
        <v>13820000</v>
      </c>
      <c r="H316" s="391"/>
      <c r="I316" s="391"/>
      <c r="J316" s="391"/>
      <c r="K316" s="391"/>
      <c r="L316" s="487"/>
      <c r="M316" s="391">
        <f t="shared" si="54"/>
        <v>164942865.88</v>
      </c>
      <c r="N316" s="391"/>
      <c r="O316" s="391"/>
      <c r="P316" s="391"/>
      <c r="Q316" s="391"/>
      <c r="R316" s="409">
        <v>834434063.13999999</v>
      </c>
      <c r="S316" s="409">
        <f t="shared" si="55"/>
        <v>669491197.25999999</v>
      </c>
      <c r="T316" s="567">
        <v>316</v>
      </c>
    </row>
    <row r="317" spans="2:20" s="427" customFormat="1" ht="20.100000000000001" customHeight="1">
      <c r="B317" s="332">
        <v>70960</v>
      </c>
      <c r="C317" s="144" t="s">
        <v>285</v>
      </c>
      <c r="D317" s="391" t="s">
        <v>286</v>
      </c>
      <c r="E317" s="391">
        <f t="shared" si="66"/>
        <v>105295035.61</v>
      </c>
      <c r="F317" s="391">
        <f>94696358.96+1034926.65</f>
        <v>95731285.609999999</v>
      </c>
      <c r="G317" s="391">
        <v>440000</v>
      </c>
      <c r="H317" s="391">
        <v>9123750</v>
      </c>
      <c r="I317" s="391"/>
      <c r="J317" s="391"/>
      <c r="K317" s="391"/>
      <c r="L317" s="487">
        <v>1519871879.4200001</v>
      </c>
      <c r="M317" s="391">
        <f t="shared" si="54"/>
        <v>1625166915.03</v>
      </c>
      <c r="N317" s="391"/>
      <c r="O317" s="391"/>
      <c r="P317" s="391"/>
      <c r="Q317" s="391"/>
      <c r="R317" s="409">
        <v>2131352994.97</v>
      </c>
      <c r="S317" s="409">
        <f t="shared" si="55"/>
        <v>506186079.94000006</v>
      </c>
      <c r="T317" s="567">
        <v>317</v>
      </c>
    </row>
    <row r="318" spans="2:20" s="427" customFormat="1" ht="20.100000000000001" customHeight="1">
      <c r="B318" s="332">
        <v>70960</v>
      </c>
      <c r="C318" s="144" t="s">
        <v>288</v>
      </c>
      <c r="D318" s="391" t="s">
        <v>289</v>
      </c>
      <c r="E318" s="391">
        <f t="shared" si="66"/>
        <v>44015093.909999996</v>
      </c>
      <c r="F318" s="391">
        <v>43535093.909999996</v>
      </c>
      <c r="G318" s="391">
        <v>480000</v>
      </c>
      <c r="H318" s="391"/>
      <c r="I318" s="391"/>
      <c r="J318" s="391"/>
      <c r="K318" s="391"/>
      <c r="L318" s="487"/>
      <c r="M318" s="391">
        <f t="shared" si="54"/>
        <v>44015093.909999996</v>
      </c>
      <c r="N318" s="391"/>
      <c r="O318" s="391"/>
      <c r="P318" s="391"/>
      <c r="Q318" s="391"/>
      <c r="R318" s="409">
        <v>135567542.72999999</v>
      </c>
      <c r="S318" s="409">
        <f t="shared" si="55"/>
        <v>91552448.819999993</v>
      </c>
      <c r="T318" s="567">
        <v>318</v>
      </c>
    </row>
    <row r="319" spans="2:20" s="427" customFormat="1" ht="20.100000000000001" customHeight="1">
      <c r="B319" s="332">
        <v>70960</v>
      </c>
      <c r="C319" s="144" t="s">
        <v>291</v>
      </c>
      <c r="D319" s="391" t="s">
        <v>292</v>
      </c>
      <c r="E319" s="391">
        <f t="shared" si="66"/>
        <v>990000</v>
      </c>
      <c r="F319" s="391"/>
      <c r="G319" s="391">
        <v>990000</v>
      </c>
      <c r="H319" s="391"/>
      <c r="I319" s="391"/>
      <c r="J319" s="391"/>
      <c r="K319" s="391"/>
      <c r="L319" s="487"/>
      <c r="M319" s="391">
        <f t="shared" si="54"/>
        <v>990000</v>
      </c>
      <c r="N319" s="391"/>
      <c r="O319" s="391"/>
      <c r="P319" s="391"/>
      <c r="Q319" s="391"/>
      <c r="R319" s="409">
        <v>1700845.09</v>
      </c>
      <c r="S319" s="409">
        <f t="shared" si="55"/>
        <v>710845.09000000008</v>
      </c>
      <c r="T319" s="567">
        <v>319</v>
      </c>
    </row>
    <row r="320" spans="2:20" s="427" customFormat="1" ht="20.100000000000001" customHeight="1">
      <c r="B320" s="332">
        <v>70960</v>
      </c>
      <c r="C320" s="144" t="s">
        <v>294</v>
      </c>
      <c r="D320" s="391" t="s">
        <v>295</v>
      </c>
      <c r="E320" s="391">
        <f t="shared" si="66"/>
        <v>242813930.27000001</v>
      </c>
      <c r="F320" s="391">
        <v>15102785.27</v>
      </c>
      <c r="G320" s="391">
        <v>480000</v>
      </c>
      <c r="H320" s="391">
        <v>227231145</v>
      </c>
      <c r="I320" s="391"/>
      <c r="J320" s="391"/>
      <c r="K320" s="391"/>
      <c r="L320" s="487"/>
      <c r="M320" s="391">
        <f t="shared" si="54"/>
        <v>242813930.27000001</v>
      </c>
      <c r="N320" s="391"/>
      <c r="O320" s="391"/>
      <c r="P320" s="391"/>
      <c r="Q320" s="391"/>
      <c r="R320" s="409">
        <v>380329797.43000001</v>
      </c>
      <c r="S320" s="409">
        <f t="shared" si="55"/>
        <v>137515867.16</v>
      </c>
      <c r="T320" s="567">
        <v>320</v>
      </c>
    </row>
    <row r="321" spans="2:20" s="427" customFormat="1" ht="20.100000000000001" customHeight="1">
      <c r="B321" s="332">
        <v>70960</v>
      </c>
      <c r="C321" s="144" t="s">
        <v>297</v>
      </c>
      <c r="D321" s="391" t="s">
        <v>298</v>
      </c>
      <c r="E321" s="391">
        <f t="shared" si="66"/>
        <v>17763668.030000001</v>
      </c>
      <c r="F321" s="391">
        <v>16443668.029999999</v>
      </c>
      <c r="G321" s="391">
        <v>1320000</v>
      </c>
      <c r="H321" s="391"/>
      <c r="I321" s="391"/>
      <c r="J321" s="391"/>
      <c r="K321" s="391"/>
      <c r="L321" s="487">
        <v>133722343.87</v>
      </c>
      <c r="M321" s="391">
        <f t="shared" si="54"/>
        <v>151486011.90000001</v>
      </c>
      <c r="N321" s="391"/>
      <c r="O321" s="391"/>
      <c r="P321" s="391"/>
      <c r="Q321" s="391"/>
      <c r="R321" s="409">
        <v>45214293.659999996</v>
      </c>
      <c r="S321" s="409">
        <f t="shared" si="55"/>
        <v>-106271718.24000001</v>
      </c>
      <c r="T321" s="567">
        <v>321</v>
      </c>
    </row>
    <row r="322" spans="2:20" s="427" customFormat="1" ht="20.100000000000001" customHeight="1">
      <c r="B322" s="320"/>
      <c r="C322" s="311"/>
      <c r="D322" s="528" t="s">
        <v>1306</v>
      </c>
      <c r="E322" s="571">
        <f t="shared" ref="E322:M322" si="67">SUM(E310:E321)</f>
        <v>592774189.38</v>
      </c>
      <c r="F322" s="571">
        <f t="shared" si="67"/>
        <v>334509294.38</v>
      </c>
      <c r="G322" s="571">
        <f t="shared" si="67"/>
        <v>21910000</v>
      </c>
      <c r="H322" s="571">
        <f t="shared" si="67"/>
        <v>236354895</v>
      </c>
      <c r="I322" s="571">
        <f t="shared" si="67"/>
        <v>0</v>
      </c>
      <c r="J322" s="571">
        <f t="shared" si="67"/>
        <v>0</v>
      </c>
      <c r="K322" s="571">
        <f t="shared" si="67"/>
        <v>0</v>
      </c>
      <c r="L322" s="571">
        <f t="shared" si="67"/>
        <v>1653594223.29</v>
      </c>
      <c r="M322" s="571">
        <f t="shared" si="67"/>
        <v>2246368412.6700001</v>
      </c>
      <c r="N322" s="571"/>
      <c r="O322" s="571"/>
      <c r="P322" s="571"/>
      <c r="Q322" s="571"/>
      <c r="R322" s="571">
        <f>SUM(R310:R321)</f>
        <v>3578904234.0299997</v>
      </c>
      <c r="S322" s="571">
        <f>SUM(S310:S321)</f>
        <v>1332535821.3600001</v>
      </c>
      <c r="T322" s="567">
        <v>322</v>
      </c>
    </row>
    <row r="323" spans="2:20" s="427" customFormat="1" ht="20.100000000000001" customHeight="1">
      <c r="B323" s="332">
        <v>70970</v>
      </c>
      <c r="C323" s="144" t="s">
        <v>261</v>
      </c>
      <c r="D323" s="391" t="s">
        <v>262</v>
      </c>
      <c r="E323" s="391">
        <f>F323+G323+H323+I323+J323+K323</f>
        <v>2319512785.3800001</v>
      </c>
      <c r="F323" s="391">
        <f>531554590.25+4145247.73</f>
        <v>535699837.98000002</v>
      </c>
      <c r="G323" s="391">
        <v>3600000</v>
      </c>
      <c r="H323" s="391">
        <f>1777302387.4+2910560</f>
        <v>1780212947.4000001</v>
      </c>
      <c r="I323" s="391"/>
      <c r="J323" s="391"/>
      <c r="K323" s="391"/>
      <c r="L323" s="487">
        <v>725887799.11000001</v>
      </c>
      <c r="M323" s="391">
        <f t="shared" si="54"/>
        <v>3045400584.4900002</v>
      </c>
      <c r="N323" s="391"/>
      <c r="O323" s="391"/>
      <c r="P323" s="391"/>
      <c r="Q323" s="391"/>
      <c r="R323" s="409">
        <v>4061177298.23</v>
      </c>
      <c r="S323" s="409">
        <f t="shared" si="55"/>
        <v>1015776713.7399998</v>
      </c>
      <c r="T323" s="567">
        <v>323</v>
      </c>
    </row>
    <row r="324" spans="2:20" s="427" customFormat="1" ht="20.100000000000001" customHeight="1">
      <c r="B324" s="332">
        <v>70970</v>
      </c>
      <c r="C324" s="144"/>
      <c r="D324" s="391" t="s">
        <v>1327</v>
      </c>
      <c r="E324" s="391">
        <f>F324+G324+H324+I324+J324+K324</f>
        <v>401317661</v>
      </c>
      <c r="F324" s="391"/>
      <c r="G324" s="391"/>
      <c r="H324" s="391">
        <v>401317661</v>
      </c>
      <c r="I324" s="391"/>
      <c r="J324" s="391"/>
      <c r="K324" s="391"/>
      <c r="L324" s="487">
        <v>122791042</v>
      </c>
      <c r="M324" s="391">
        <f t="shared" si="54"/>
        <v>524108703</v>
      </c>
      <c r="N324" s="391"/>
      <c r="O324" s="391"/>
      <c r="P324" s="391"/>
      <c r="Q324" s="391"/>
      <c r="R324" s="409">
        <v>0</v>
      </c>
      <c r="S324" s="409">
        <f t="shared" si="55"/>
        <v>-524108703</v>
      </c>
      <c r="T324" s="567">
        <v>324</v>
      </c>
    </row>
    <row r="325" spans="2:20" s="427" customFormat="1" ht="20.100000000000001" customHeight="1">
      <c r="B325" s="320"/>
      <c r="C325" s="311"/>
      <c r="D325" s="528" t="s">
        <v>1307</v>
      </c>
      <c r="E325" s="571">
        <f t="shared" ref="E325:M325" si="68">SUM(E323:E324)</f>
        <v>2720830446.3800001</v>
      </c>
      <c r="F325" s="571">
        <f t="shared" si="68"/>
        <v>535699837.98000002</v>
      </c>
      <c r="G325" s="571">
        <f t="shared" si="68"/>
        <v>3600000</v>
      </c>
      <c r="H325" s="571">
        <f t="shared" si="68"/>
        <v>2181530608.4000001</v>
      </c>
      <c r="I325" s="571">
        <f t="shared" si="68"/>
        <v>0</v>
      </c>
      <c r="J325" s="571">
        <f t="shared" si="68"/>
        <v>0</v>
      </c>
      <c r="K325" s="571">
        <f t="shared" si="68"/>
        <v>0</v>
      </c>
      <c r="L325" s="571">
        <f t="shared" si="68"/>
        <v>848678841.11000001</v>
      </c>
      <c r="M325" s="571">
        <f t="shared" si="68"/>
        <v>3569509287.4900002</v>
      </c>
      <c r="N325" s="571"/>
      <c r="O325" s="571"/>
      <c r="P325" s="571"/>
      <c r="Q325" s="571"/>
      <c r="R325" s="571">
        <f>SUM(R323:R324)</f>
        <v>4061177298.23</v>
      </c>
      <c r="S325" s="571">
        <f>SUM(S323:S324)</f>
        <v>491668010.73999977</v>
      </c>
      <c r="T325" s="567">
        <v>325</v>
      </c>
    </row>
    <row r="326" spans="2:20" s="427" customFormat="1" ht="20.100000000000001" customHeight="1">
      <c r="B326" s="320"/>
      <c r="C326" s="311"/>
      <c r="D326" s="528" t="s">
        <v>335</v>
      </c>
      <c r="E326" s="571">
        <f t="shared" ref="E326:M326" si="69">E325+E322+E309+E307+E305+E303</f>
        <v>22968467916.810001</v>
      </c>
      <c r="F326" s="571">
        <f t="shared" si="69"/>
        <v>10451173617.410002</v>
      </c>
      <c r="G326" s="571">
        <f t="shared" si="69"/>
        <v>48493500</v>
      </c>
      <c r="H326" s="571">
        <f t="shared" si="69"/>
        <v>2417885503.4000001</v>
      </c>
      <c r="I326" s="571">
        <f t="shared" si="69"/>
        <v>10050915296</v>
      </c>
      <c r="J326" s="571">
        <f t="shared" si="69"/>
        <v>0</v>
      </c>
      <c r="K326" s="571">
        <f t="shared" si="69"/>
        <v>0</v>
      </c>
      <c r="L326" s="571">
        <f t="shared" si="69"/>
        <v>2570308731.52</v>
      </c>
      <c r="M326" s="571">
        <f t="shared" si="69"/>
        <v>25538776648.330002</v>
      </c>
      <c r="N326" s="571"/>
      <c r="O326" s="571"/>
      <c r="P326" s="571"/>
      <c r="Q326" s="571"/>
      <c r="R326" s="571">
        <f>R325+R322+R309+R307+R305+R303</f>
        <v>32315414801.200001</v>
      </c>
      <c r="S326" s="571">
        <f>S325+S322+S309+S307+S305+S303</f>
        <v>6776638152.869998</v>
      </c>
      <c r="T326" s="567">
        <v>326</v>
      </c>
    </row>
    <row r="327" spans="2:20" s="427" customFormat="1" ht="20.100000000000001" customHeight="1">
      <c r="B327" s="332"/>
      <c r="C327" s="144"/>
      <c r="D327" s="528" t="s">
        <v>1310</v>
      </c>
      <c r="E327" s="391">
        <f>F327+G327+H327+I327+J327+K327</f>
        <v>0</v>
      </c>
      <c r="F327" s="391"/>
      <c r="G327" s="391"/>
      <c r="H327" s="391"/>
      <c r="I327" s="391"/>
      <c r="J327" s="391"/>
      <c r="K327" s="391"/>
      <c r="L327" s="487"/>
      <c r="M327" s="391">
        <f t="shared" si="54"/>
        <v>0</v>
      </c>
      <c r="N327" s="391"/>
      <c r="O327" s="391"/>
      <c r="P327" s="391"/>
      <c r="Q327" s="391"/>
      <c r="R327" s="409"/>
      <c r="S327" s="409">
        <f t="shared" si="55"/>
        <v>0</v>
      </c>
      <c r="T327" s="567">
        <v>327</v>
      </c>
    </row>
    <row r="328" spans="2:20" s="427" customFormat="1" ht="25.5" customHeight="1">
      <c r="B328" s="332">
        <v>71090</v>
      </c>
      <c r="C328" s="144" t="s">
        <v>252</v>
      </c>
      <c r="D328" s="391" t="s">
        <v>253</v>
      </c>
      <c r="E328" s="391">
        <f>F328+G328+H328+I328+J328+K328</f>
        <v>148101760.17000002</v>
      </c>
      <c r="F328" s="391">
        <v>86969635.170000002</v>
      </c>
      <c r="G328" s="391">
        <v>5200000</v>
      </c>
      <c r="H328" s="391">
        <v>55932125</v>
      </c>
      <c r="I328" s="391"/>
      <c r="J328" s="391"/>
      <c r="K328" s="391"/>
      <c r="L328" s="487">
        <v>245850000</v>
      </c>
      <c r="M328" s="391">
        <f t="shared" si="54"/>
        <v>393951760.17000002</v>
      </c>
      <c r="N328" s="391"/>
      <c r="O328" s="391"/>
      <c r="P328" s="391"/>
      <c r="Q328" s="391"/>
      <c r="R328" s="409">
        <v>727618131.48000002</v>
      </c>
      <c r="S328" s="409">
        <f t="shared" si="55"/>
        <v>333666371.31</v>
      </c>
      <c r="T328" s="567">
        <v>328</v>
      </c>
    </row>
    <row r="329" spans="2:20" s="427" customFormat="1" ht="20.100000000000001" customHeight="1">
      <c r="B329" s="332">
        <v>71090</v>
      </c>
      <c r="C329" s="144" t="s">
        <v>255</v>
      </c>
      <c r="D329" s="391" t="s">
        <v>256</v>
      </c>
      <c r="E329" s="391">
        <f>F329+G329+H329+I329+J329+K329</f>
        <v>81000</v>
      </c>
      <c r="F329" s="391"/>
      <c r="G329" s="391">
        <v>81000</v>
      </c>
      <c r="H329" s="391"/>
      <c r="I329" s="391"/>
      <c r="J329" s="391"/>
      <c r="K329" s="391"/>
      <c r="L329" s="487"/>
      <c r="M329" s="391">
        <f t="shared" si="54"/>
        <v>81000</v>
      </c>
      <c r="N329" s="391"/>
      <c r="O329" s="391"/>
      <c r="P329" s="391"/>
      <c r="Q329" s="391"/>
      <c r="R329" s="409">
        <v>566948.36</v>
      </c>
      <c r="S329" s="409">
        <f t="shared" si="55"/>
        <v>485948.36</v>
      </c>
      <c r="T329" s="567">
        <v>329</v>
      </c>
    </row>
    <row r="330" spans="2:20" s="427" customFormat="1" ht="20.100000000000001" customHeight="1">
      <c r="B330" s="332">
        <v>71090</v>
      </c>
      <c r="C330" s="144" t="s">
        <v>611</v>
      </c>
      <c r="D330" s="391" t="s">
        <v>1328</v>
      </c>
      <c r="E330" s="391">
        <f>F330+G330+H330+I330+J330+K330</f>
        <v>600000</v>
      </c>
      <c r="F330" s="391"/>
      <c r="G330" s="391">
        <v>600000</v>
      </c>
      <c r="H330" s="391"/>
      <c r="I330" s="391"/>
      <c r="J330" s="391"/>
      <c r="K330" s="391"/>
      <c r="L330" s="487"/>
      <c r="M330" s="391">
        <f t="shared" si="54"/>
        <v>600000</v>
      </c>
      <c r="N330" s="391"/>
      <c r="O330" s="391"/>
      <c r="P330" s="391"/>
      <c r="Q330" s="391"/>
      <c r="R330" s="409">
        <v>3000000</v>
      </c>
      <c r="S330" s="409">
        <f t="shared" si="55"/>
        <v>2400000</v>
      </c>
      <c r="T330" s="567">
        <v>330</v>
      </c>
    </row>
    <row r="331" spans="2:20" s="427" customFormat="1" ht="29.25" customHeight="1">
      <c r="B331" s="332">
        <v>71090</v>
      </c>
      <c r="C331" s="144" t="s">
        <v>258</v>
      </c>
      <c r="D331" s="391" t="s">
        <v>259</v>
      </c>
      <c r="E331" s="391">
        <f>F331+G331+H331+I331+J331+K331</f>
        <v>879000</v>
      </c>
      <c r="F331" s="391"/>
      <c r="G331" s="391">
        <v>879000</v>
      </c>
      <c r="H331" s="391"/>
      <c r="I331" s="391"/>
      <c r="J331" s="391"/>
      <c r="K331" s="391"/>
      <c r="L331" s="487"/>
      <c r="M331" s="391">
        <f t="shared" si="54"/>
        <v>879000</v>
      </c>
      <c r="N331" s="391"/>
      <c r="O331" s="391"/>
      <c r="P331" s="391"/>
      <c r="Q331" s="391"/>
      <c r="R331" s="409">
        <v>1530760.58</v>
      </c>
      <c r="S331" s="409">
        <f t="shared" si="55"/>
        <v>651760.58000000007</v>
      </c>
      <c r="T331" s="567">
        <v>331</v>
      </c>
    </row>
    <row r="332" spans="2:20" s="427" customFormat="1" ht="20.100000000000001" customHeight="1">
      <c r="B332" s="320"/>
      <c r="C332" s="311"/>
      <c r="D332" s="528" t="s">
        <v>1311</v>
      </c>
      <c r="E332" s="571">
        <f t="shared" ref="E332:M332" si="70">SUM(E328:E331)</f>
        <v>149661760.17000002</v>
      </c>
      <c r="F332" s="571">
        <f t="shared" si="70"/>
        <v>86969635.170000002</v>
      </c>
      <c r="G332" s="571">
        <f t="shared" si="70"/>
        <v>6760000</v>
      </c>
      <c r="H332" s="571">
        <f t="shared" si="70"/>
        <v>55932125</v>
      </c>
      <c r="I332" s="571">
        <f t="shared" si="70"/>
        <v>0</v>
      </c>
      <c r="J332" s="571">
        <f t="shared" si="70"/>
        <v>0</v>
      </c>
      <c r="K332" s="571">
        <f t="shared" si="70"/>
        <v>0</v>
      </c>
      <c r="L332" s="571">
        <f t="shared" si="70"/>
        <v>245850000</v>
      </c>
      <c r="M332" s="571">
        <f t="shared" si="70"/>
        <v>395511760.17000002</v>
      </c>
      <c r="N332" s="571"/>
      <c r="O332" s="571"/>
      <c r="P332" s="571"/>
      <c r="Q332" s="571"/>
      <c r="R332" s="571">
        <f>SUM(R328:R331)</f>
        <v>732715840.42000008</v>
      </c>
      <c r="S332" s="571">
        <f>SUM(S328:S331)</f>
        <v>337204080.25</v>
      </c>
      <c r="T332" s="567">
        <v>332</v>
      </c>
    </row>
    <row r="333" spans="2:20" s="427" customFormat="1" ht="20.100000000000001" customHeight="1">
      <c r="B333" s="332"/>
      <c r="C333" s="144"/>
      <c r="D333" s="391" t="s">
        <v>1312</v>
      </c>
      <c r="E333" s="391">
        <f>F333+G333+H333+I333+J333+K333</f>
        <v>7288322497.7599993</v>
      </c>
      <c r="F333" s="391"/>
      <c r="G333" s="391"/>
      <c r="H333" s="487">
        <f>423196344.28+6865126153.48</f>
        <v>7288322497.7599993</v>
      </c>
      <c r="I333" s="391"/>
      <c r="J333" s="391"/>
      <c r="K333" s="391"/>
      <c r="L333" s="487">
        <v>0</v>
      </c>
      <c r="M333" s="391">
        <f t="shared" si="54"/>
        <v>7288322497.7599993</v>
      </c>
      <c r="N333" s="391"/>
      <c r="O333" s="391"/>
      <c r="P333" s="391"/>
      <c r="Q333" s="391"/>
      <c r="R333" s="409">
        <v>12022863958.4</v>
      </c>
      <c r="S333" s="409">
        <f t="shared" si="55"/>
        <v>4734541460.6400003</v>
      </c>
      <c r="T333" s="567">
        <v>333</v>
      </c>
    </row>
    <row r="334" spans="2:20" s="427" customFormat="1" ht="20.100000000000001" customHeight="1">
      <c r="B334" s="320"/>
      <c r="C334" s="311"/>
      <c r="D334" s="528" t="s">
        <v>2044</v>
      </c>
      <c r="E334" s="571">
        <f t="shared" ref="E334:M334" si="71">E333+E332</f>
        <v>7437984257.9299994</v>
      </c>
      <c r="F334" s="571">
        <f t="shared" si="71"/>
        <v>86969635.170000002</v>
      </c>
      <c r="G334" s="571">
        <f t="shared" si="71"/>
        <v>6760000</v>
      </c>
      <c r="H334" s="571">
        <f t="shared" si="71"/>
        <v>7344254622.7599993</v>
      </c>
      <c r="I334" s="571">
        <f t="shared" si="71"/>
        <v>0</v>
      </c>
      <c r="J334" s="571">
        <f t="shared" si="71"/>
        <v>0</v>
      </c>
      <c r="K334" s="571">
        <f t="shared" si="71"/>
        <v>0</v>
      </c>
      <c r="L334" s="571">
        <f t="shared" si="71"/>
        <v>245850000</v>
      </c>
      <c r="M334" s="571">
        <f t="shared" si="71"/>
        <v>7683834257.9299994</v>
      </c>
      <c r="N334" s="571"/>
      <c r="O334" s="571"/>
      <c r="P334" s="571"/>
      <c r="Q334" s="571"/>
      <c r="R334" s="571">
        <f>R333+R332</f>
        <v>12755579798.82</v>
      </c>
      <c r="S334" s="571">
        <f>S333+S332</f>
        <v>5071745540.8900003</v>
      </c>
      <c r="T334" s="567">
        <v>334</v>
      </c>
    </row>
    <row r="335" spans="2:20" s="427" customFormat="1" ht="20.100000000000001" customHeight="1">
      <c r="B335" s="332"/>
      <c r="C335" s="144"/>
      <c r="D335" s="391" t="s">
        <v>2045</v>
      </c>
      <c r="E335" s="391">
        <f>F335+G335+H335+I335+J335+K335</f>
        <v>715699581.29999995</v>
      </c>
      <c r="F335" s="391">
        <v>715699581.29999995</v>
      </c>
      <c r="G335" s="391"/>
      <c r="H335" s="391"/>
      <c r="I335" s="391"/>
      <c r="J335" s="391"/>
      <c r="K335" s="391"/>
      <c r="L335" s="487"/>
      <c r="M335" s="391">
        <f t="shared" si="54"/>
        <v>715699581.29999995</v>
      </c>
      <c r="N335" s="391"/>
      <c r="O335" s="391"/>
      <c r="P335" s="391"/>
      <c r="Q335" s="391"/>
      <c r="R335" s="409">
        <v>1444954932.4000001</v>
      </c>
      <c r="S335" s="409">
        <f t="shared" si="55"/>
        <v>729255351.10000014</v>
      </c>
      <c r="T335" s="567">
        <v>335</v>
      </c>
    </row>
    <row r="336" spans="2:20" s="427" customFormat="1" ht="20.100000000000001" customHeight="1">
      <c r="B336" s="320"/>
      <c r="C336" s="311"/>
      <c r="D336" s="528" t="s">
        <v>65</v>
      </c>
      <c r="E336" s="571">
        <f t="shared" ref="E336:M336" si="72">E335</f>
        <v>715699581.29999995</v>
      </c>
      <c r="F336" s="571">
        <f t="shared" si="72"/>
        <v>715699581.29999995</v>
      </c>
      <c r="G336" s="571">
        <f t="shared" si="72"/>
        <v>0</v>
      </c>
      <c r="H336" s="571">
        <f t="shared" si="72"/>
        <v>0</v>
      </c>
      <c r="I336" s="571">
        <f t="shared" si="72"/>
        <v>0</v>
      </c>
      <c r="J336" s="571">
        <f t="shared" si="72"/>
        <v>0</v>
      </c>
      <c r="K336" s="571">
        <f t="shared" si="72"/>
        <v>0</v>
      </c>
      <c r="L336" s="571">
        <f t="shared" si="72"/>
        <v>0</v>
      </c>
      <c r="M336" s="571">
        <f t="shared" si="72"/>
        <v>715699581.29999995</v>
      </c>
      <c r="N336" s="571"/>
      <c r="O336" s="571"/>
      <c r="P336" s="571"/>
      <c r="Q336" s="571"/>
      <c r="R336" s="571">
        <f>R335</f>
        <v>1444954932.4000001</v>
      </c>
      <c r="S336" s="571">
        <f>S335</f>
        <v>729255351.10000014</v>
      </c>
      <c r="T336" s="567">
        <v>336</v>
      </c>
    </row>
    <row r="337" spans="2:20" s="427" customFormat="1" ht="20.100000000000001" customHeight="1">
      <c r="B337" s="332"/>
      <c r="C337" s="144"/>
      <c r="D337" s="391" t="s">
        <v>2046</v>
      </c>
      <c r="E337" s="391">
        <f>F337+G337+H337+I337+J337+K337</f>
        <v>45884272.840000004</v>
      </c>
      <c r="F337" s="391">
        <f>42462923.93+3421348.91</f>
        <v>45884272.840000004</v>
      </c>
      <c r="G337" s="391"/>
      <c r="H337" s="391"/>
      <c r="I337" s="391"/>
      <c r="J337" s="391"/>
      <c r="K337" s="391"/>
      <c r="L337" s="487"/>
      <c r="M337" s="391">
        <f t="shared" si="54"/>
        <v>45884272.840000004</v>
      </c>
      <c r="N337" s="391"/>
      <c r="O337" s="391"/>
      <c r="P337" s="391"/>
      <c r="Q337" s="391"/>
      <c r="R337" s="409">
        <v>68760477.489999995</v>
      </c>
      <c r="S337" s="409">
        <f t="shared" si="55"/>
        <v>22876204.649999991</v>
      </c>
      <c r="T337" s="567">
        <v>337</v>
      </c>
    </row>
    <row r="338" spans="2:20" s="427" customFormat="1" ht="20.100000000000001" hidden="1" customHeight="1">
      <c r="B338" s="332"/>
      <c r="C338" s="144"/>
      <c r="D338" s="391" t="s">
        <v>1336</v>
      </c>
      <c r="E338" s="391">
        <f>F338+G338+H338+I338+J338+K338</f>
        <v>-501901159.48000002</v>
      </c>
      <c r="F338" s="391">
        <f>1265750692.7-1767651852.18</f>
        <v>-501901159.48000002</v>
      </c>
      <c r="G338" s="391"/>
      <c r="H338" s="391"/>
      <c r="I338" s="391"/>
      <c r="J338" s="391"/>
      <c r="K338" s="391"/>
      <c r="L338" s="487"/>
      <c r="M338" s="391">
        <f>L338+E338</f>
        <v>-501901159.48000002</v>
      </c>
      <c r="N338" s="391"/>
      <c r="O338" s="391"/>
      <c r="P338" s="391"/>
      <c r="Q338" s="391"/>
      <c r="R338" s="409"/>
      <c r="S338" s="409">
        <f>R338-M338</f>
        <v>501901159.48000002</v>
      </c>
      <c r="T338" s="567">
        <v>338</v>
      </c>
    </row>
    <row r="339" spans="2:20" s="427" customFormat="1" ht="20.100000000000001" customHeight="1">
      <c r="B339" s="320"/>
      <c r="C339" s="311"/>
      <c r="D339" s="528" t="s">
        <v>335</v>
      </c>
      <c r="E339" s="571">
        <f>E337+E336+E334+E326+E298+E270+E252+E226+E218+E154+E147+E338</f>
        <v>66492183786.269997</v>
      </c>
      <c r="F339" s="571">
        <f>F337+F336+F334+F326+F298+F270+F252+F226+F218+F154+F147+F338</f>
        <v>18985251909.060001</v>
      </c>
      <c r="G339" s="571">
        <f>G337+G336+G334+G326+G298+G270+G252+G226+G218+G154+G147+G338</f>
        <v>2615456299.7800002</v>
      </c>
      <c r="H339" s="571">
        <f>H337+H336+H334+H326+H298+H270+H252+H226+H218+H154+H147+H338</f>
        <v>19698845546.48</v>
      </c>
      <c r="I339" s="571">
        <f>I337+I336+I334+I326+I298+I270+I252+I226+I218+I154+I147+I338</f>
        <v>14595378328.1</v>
      </c>
      <c r="J339" s="571"/>
      <c r="K339" s="571">
        <f>K337+K336+K334+K326+K298+K270+K252+K226+K218+K154+K147+K338</f>
        <v>10597251702.849998</v>
      </c>
      <c r="L339" s="571">
        <f>L337+L336+L334+L326+L298+L270+L252+L226+L218+L154+L147+L338</f>
        <v>11966138376.610001</v>
      </c>
      <c r="M339" s="571">
        <f>M337+M336+M334+M326+M298+M270+M252+M226+M218+M154+M147+M338</f>
        <v>78458322162.87999</v>
      </c>
      <c r="N339" s="571"/>
      <c r="O339" s="571"/>
      <c r="P339" s="571"/>
      <c r="Q339" s="571"/>
      <c r="R339" s="571">
        <f>R337+R336+R334+R326+R298+R270+R252+R226+R218+R154+R147+R338</f>
        <v>108538072813.52</v>
      </c>
      <c r="S339" s="571">
        <f>S337+S336+S334+S326+S298+S270+S252+S226+S218+S154+S147+S338</f>
        <v>30076800650.639999</v>
      </c>
      <c r="T339" s="567">
        <v>339</v>
      </c>
    </row>
  </sheetData>
  <mergeCells count="3">
    <mergeCell ref="B1:S1"/>
    <mergeCell ref="B2:S2"/>
    <mergeCell ref="B3:S3"/>
  </mergeCells>
  <pageMargins left="0.25" right="0.25" top="0.75" bottom="0.5" header="0.3" footer="0.25"/>
  <pageSetup paperSize="9" firstPageNumber="129" orientation="landscape" useFirstPageNumber="1" horizontalDpi="300" verticalDpi="300" r:id="rId1"/>
  <headerFooter>
    <oddHeader>&amp;CReport of the Accountant-General of Ekiti State for the year ended 31st December, 2018</oddHeader>
    <oddFooter>&amp;R&amp;P</oddFooter>
  </headerFooter>
  <legacy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opLeftCell="A2" workbookViewId="0">
      <selection activeCell="B2" sqref="B2:H2"/>
    </sheetView>
  </sheetViews>
  <sheetFormatPr defaultRowHeight="15"/>
  <cols>
    <col min="1" max="1" width="5" style="142" customWidth="1"/>
    <col min="2" max="2" width="7.28515625" style="170" customWidth="1"/>
    <col min="3" max="3" width="43.42578125" style="402" customWidth="1"/>
    <col min="4" max="4" width="7.42578125" style="471" customWidth="1"/>
    <col min="5" max="5" width="19.85546875" style="402" customWidth="1"/>
    <col min="6" max="6" width="19.85546875" style="268" customWidth="1"/>
    <col min="7" max="7" width="19.85546875" style="170" customWidth="1"/>
    <col min="8" max="8" width="9.140625" style="142"/>
    <col min="9" max="9" width="19.42578125" hidden="1" customWidth="1"/>
  </cols>
  <sheetData>
    <row r="1" spans="1:12" s="108" customFormat="1" ht="24.95" customHeight="1">
      <c r="A1" s="142"/>
      <c r="B1" s="599" t="s">
        <v>0</v>
      </c>
      <c r="C1" s="599"/>
      <c r="D1" s="599"/>
      <c r="E1" s="599"/>
      <c r="F1" s="599"/>
      <c r="G1" s="599"/>
      <c r="H1" s="599"/>
      <c r="I1" s="106"/>
      <c r="J1" s="16"/>
      <c r="K1" s="16"/>
    </row>
    <row r="2" spans="1:12" s="108" customFormat="1" ht="24.95" customHeight="1">
      <c r="A2" s="142"/>
      <c r="B2" s="600" t="s">
        <v>1571</v>
      </c>
      <c r="C2" s="600"/>
      <c r="D2" s="600"/>
      <c r="E2" s="600"/>
      <c r="F2" s="600"/>
      <c r="G2" s="600"/>
      <c r="H2" s="600"/>
      <c r="I2" s="107"/>
      <c r="J2" s="16"/>
      <c r="K2" s="16"/>
    </row>
    <row r="3" spans="1:12" s="108" customFormat="1" ht="24.95" customHeight="1">
      <c r="A3" s="142"/>
      <c r="B3" s="599" t="s">
        <v>2047</v>
      </c>
      <c r="C3" s="599"/>
      <c r="D3" s="599"/>
      <c r="E3" s="599"/>
      <c r="F3" s="599"/>
      <c r="G3" s="599"/>
      <c r="H3" s="599"/>
      <c r="I3" s="106"/>
      <c r="J3" s="110"/>
      <c r="K3" s="110"/>
      <c r="L3" s="110"/>
    </row>
    <row r="4" spans="1:12" ht="12.75" customHeight="1"/>
    <row r="5" spans="1:12" ht="20.100000000000001" customHeight="1">
      <c r="B5" s="304"/>
      <c r="C5" s="386" t="s">
        <v>693</v>
      </c>
      <c r="D5" s="472"/>
      <c r="E5" s="141" t="s">
        <v>91</v>
      </c>
      <c r="F5" s="141" t="s">
        <v>983</v>
      </c>
      <c r="G5" s="141" t="s">
        <v>992</v>
      </c>
    </row>
    <row r="6" spans="1:12" ht="20.100000000000001" customHeight="1">
      <c r="B6" s="368"/>
      <c r="C6" s="473" t="s">
        <v>4</v>
      </c>
      <c r="D6" s="474"/>
      <c r="E6" s="466" t="s">
        <v>1458</v>
      </c>
      <c r="F6" s="466" t="s">
        <v>1458</v>
      </c>
      <c r="G6" s="141"/>
    </row>
    <row r="7" spans="1:12" s="4" customFormat="1" ht="20.100000000000001" customHeight="1">
      <c r="A7" s="204"/>
      <c r="B7" s="368">
        <v>1</v>
      </c>
      <c r="C7" s="134" t="s">
        <v>985</v>
      </c>
      <c r="D7" s="475">
        <f>F7/1000000000</f>
        <v>66.719055756209997</v>
      </c>
      <c r="E7" s="13">
        <v>92417450407.839996</v>
      </c>
      <c r="F7" s="278">
        <f>F9-F8</f>
        <v>66719055756.209991</v>
      </c>
      <c r="G7" s="264">
        <f>F7/E7*100</f>
        <v>72.193136103384703</v>
      </c>
      <c r="H7" s="204"/>
    </row>
    <row r="8" spans="1:12" s="26" customFormat="1" ht="20.100000000000001" customHeight="1">
      <c r="A8" s="263"/>
      <c r="B8" s="368">
        <v>2</v>
      </c>
      <c r="C8" s="134" t="s">
        <v>986</v>
      </c>
      <c r="D8" s="475">
        <f>F8/1000000000</f>
        <v>9.99705114108</v>
      </c>
      <c r="E8" s="13">
        <v>16120622405.68</v>
      </c>
      <c r="F8" s="278">
        <v>9997051141.0799999</v>
      </c>
      <c r="G8" s="264">
        <f t="shared" ref="G8:G13" si="0">F8/E8*100</f>
        <v>62.01405187406165</v>
      </c>
      <c r="H8" s="263"/>
    </row>
    <row r="9" spans="1:12" s="26" customFormat="1" ht="20.100000000000001" customHeight="1">
      <c r="A9" s="263"/>
      <c r="B9" s="368"/>
      <c r="C9" s="292" t="s">
        <v>987</v>
      </c>
      <c r="D9" s="476"/>
      <c r="E9" s="293">
        <f>SUM(E7:E8)</f>
        <v>108538072813.51999</v>
      </c>
      <c r="F9" s="293">
        <v>76716106897.289993</v>
      </c>
      <c r="G9" s="266">
        <f t="shared" si="0"/>
        <v>70.681287136078481</v>
      </c>
      <c r="H9" s="263"/>
    </row>
    <row r="10" spans="1:12" s="6" customFormat="1" ht="20.100000000000001" customHeight="1">
      <c r="A10" s="169"/>
      <c r="B10" s="141"/>
      <c r="C10" s="473" t="s">
        <v>988</v>
      </c>
      <c r="D10" s="474"/>
      <c r="E10" s="293"/>
      <c r="F10" s="266"/>
      <c r="G10" s="264"/>
      <c r="H10" s="169"/>
    </row>
    <row r="11" spans="1:12" ht="20.100000000000001" customHeight="1">
      <c r="B11" s="143">
        <v>1</v>
      </c>
      <c r="C11" s="134" t="s">
        <v>989</v>
      </c>
      <c r="D11" s="475">
        <f>E11/1000000000</f>
        <v>74.803953943110002</v>
      </c>
      <c r="E11" s="13">
        <f>E13-E12</f>
        <v>74803953943.110001</v>
      </c>
      <c r="F11" s="278">
        <f>F13-F12</f>
        <v>66492183786.270004</v>
      </c>
      <c r="G11" s="264">
        <f t="shared" si="0"/>
        <v>88.888595162815491</v>
      </c>
    </row>
    <row r="12" spans="1:12" ht="20.100000000000001" customHeight="1">
      <c r="B12" s="143">
        <v>2</v>
      </c>
      <c r="C12" s="134" t="s">
        <v>990</v>
      </c>
      <c r="D12" s="475">
        <f>E12/1000000000</f>
        <v>33.734118870410001</v>
      </c>
      <c r="E12" s="13">
        <f>'BUDGET&amp;ACTUAL'!E33</f>
        <v>33734118870.41</v>
      </c>
      <c r="F12" s="278">
        <f>'BUDGET&amp;ACTUAL'!D33</f>
        <v>11966138376.610001</v>
      </c>
      <c r="G12" s="264">
        <f t="shared" si="0"/>
        <v>35.471916200266136</v>
      </c>
    </row>
    <row r="13" spans="1:12" s="6" customFormat="1" ht="20.100000000000001" customHeight="1">
      <c r="A13" s="169"/>
      <c r="B13" s="141"/>
      <c r="C13" s="292" t="s">
        <v>991</v>
      </c>
      <c r="D13" s="476"/>
      <c r="E13" s="293">
        <v>108538072813.52</v>
      </c>
      <c r="F13" s="386">
        <v>78458322162.880005</v>
      </c>
      <c r="G13" s="266">
        <f t="shared" si="0"/>
        <v>72.286452236608042</v>
      </c>
      <c r="H13" s="169"/>
      <c r="I13" s="64"/>
    </row>
    <row r="14" spans="1:12" ht="27" customHeight="1">
      <c r="B14" s="617" t="s">
        <v>2048</v>
      </c>
      <c r="C14" s="617"/>
      <c r="D14" s="617"/>
      <c r="E14" s="617"/>
      <c r="F14" s="617"/>
      <c r="G14" s="617"/>
    </row>
    <row r="15" spans="1:12" ht="20.100000000000001" customHeight="1">
      <c r="B15" s="304"/>
      <c r="C15" s="386" t="s">
        <v>693</v>
      </c>
      <c r="D15" s="472"/>
      <c r="E15" s="141" t="s">
        <v>1927</v>
      </c>
      <c r="F15" s="141" t="s">
        <v>1928</v>
      </c>
      <c r="G15" s="392" t="s">
        <v>984</v>
      </c>
    </row>
    <row r="16" spans="1:12" ht="20.100000000000001" customHeight="1">
      <c r="B16" s="368"/>
      <c r="C16" s="473" t="s">
        <v>4</v>
      </c>
      <c r="D16" s="474"/>
      <c r="E16" s="466" t="s">
        <v>1458</v>
      </c>
      <c r="F16" s="466" t="s">
        <v>1458</v>
      </c>
      <c r="G16" s="141"/>
    </row>
    <row r="17" spans="1:9" ht="20.100000000000001" customHeight="1">
      <c r="B17" s="368">
        <v>1</v>
      </c>
      <c r="C17" s="134" t="s">
        <v>985</v>
      </c>
      <c r="D17" s="475"/>
      <c r="E17" s="278">
        <f>F7</f>
        <v>66719055756.209991</v>
      </c>
      <c r="F17" s="278">
        <v>56791187976.540001</v>
      </c>
      <c r="G17" s="264">
        <f>I17/F17*100</f>
        <v>17.481352536191206</v>
      </c>
      <c r="I17" s="65">
        <f>E17-F17</f>
        <v>9927867779.6699905</v>
      </c>
    </row>
    <row r="18" spans="1:9" ht="20.100000000000001" customHeight="1">
      <c r="B18" s="368">
        <v>2</v>
      </c>
      <c r="C18" s="134" t="s">
        <v>986</v>
      </c>
      <c r="D18" s="475"/>
      <c r="E18" s="278">
        <f>F8</f>
        <v>9997051141.0799999</v>
      </c>
      <c r="F18" s="278">
        <v>12503926117.57</v>
      </c>
      <c r="G18" s="264">
        <f>I18/F18*100</f>
        <v>-20.048702726797487</v>
      </c>
      <c r="I18" s="65">
        <f t="shared" ref="I18:I23" si="1">E18-F18</f>
        <v>-2506874976.4899998</v>
      </c>
    </row>
    <row r="19" spans="1:9" ht="20.100000000000001" customHeight="1">
      <c r="B19" s="368"/>
      <c r="C19" s="292" t="s">
        <v>987</v>
      </c>
      <c r="D19" s="476"/>
      <c r="E19" s="293">
        <f>SUM(E17:E18)</f>
        <v>76716106897.289993</v>
      </c>
      <c r="F19" s="293">
        <f>SUM(F17:F18)</f>
        <v>69295114094.110001</v>
      </c>
      <c r="G19" s="264">
        <f>I19/F19*100</f>
        <v>10.709258365750737</v>
      </c>
      <c r="I19" s="65">
        <f t="shared" si="1"/>
        <v>7420992803.1799927</v>
      </c>
    </row>
    <row r="20" spans="1:9" s="6" customFormat="1" ht="20.100000000000001" customHeight="1">
      <c r="A20" s="169"/>
      <c r="B20" s="141"/>
      <c r="C20" s="473" t="s">
        <v>988</v>
      </c>
      <c r="D20" s="474"/>
      <c r="E20" s="293"/>
      <c r="F20" s="266"/>
      <c r="G20" s="264"/>
      <c r="H20" s="169"/>
      <c r="I20" s="65">
        <f t="shared" si="1"/>
        <v>0</v>
      </c>
    </row>
    <row r="21" spans="1:9" s="6" customFormat="1" ht="20.100000000000001" customHeight="1">
      <c r="A21" s="169"/>
      <c r="B21" s="143">
        <v>1</v>
      </c>
      <c r="C21" s="134" t="s">
        <v>989</v>
      </c>
      <c r="D21" s="475"/>
      <c r="E21" s="278">
        <f>F11</f>
        <v>66492183786.270004</v>
      </c>
      <c r="F21" s="278">
        <v>58135765434.620003</v>
      </c>
      <c r="G21" s="264">
        <f>I21/F21*100</f>
        <v>14.37397149444554</v>
      </c>
      <c r="H21" s="169"/>
      <c r="I21" s="65">
        <f t="shared" si="1"/>
        <v>8356418351.6500015</v>
      </c>
    </row>
    <row r="22" spans="1:9" s="6" customFormat="1" ht="20.100000000000001" customHeight="1">
      <c r="A22" s="169"/>
      <c r="B22" s="143">
        <v>2</v>
      </c>
      <c r="C22" s="134" t="s">
        <v>990</v>
      </c>
      <c r="D22" s="475"/>
      <c r="E22" s="278">
        <f>F12</f>
        <v>11966138376.610001</v>
      </c>
      <c r="F22" s="278">
        <v>13353306731.450001</v>
      </c>
      <c r="G22" s="264">
        <f>I22/F22*100</f>
        <v>-10.388201085600098</v>
      </c>
      <c r="H22" s="169"/>
      <c r="I22" s="65">
        <f t="shared" si="1"/>
        <v>-1387168354.8400002</v>
      </c>
    </row>
    <row r="23" spans="1:9" ht="20.100000000000001" customHeight="1">
      <c r="B23" s="141"/>
      <c r="C23" s="292" t="s">
        <v>991</v>
      </c>
      <c r="D23" s="476"/>
      <c r="E23" s="386">
        <f>SUM(E21:E22)</f>
        <v>78458322162.880005</v>
      </c>
      <c r="F23" s="386">
        <f>SUM(F21:F22)</f>
        <v>71489072166.070007</v>
      </c>
      <c r="G23" s="264">
        <f>I23/F23*100</f>
        <v>9.7486927521178934</v>
      </c>
      <c r="I23" s="65">
        <f t="shared" si="1"/>
        <v>6969249996.8099976</v>
      </c>
    </row>
    <row r="25" spans="1:9" s="122" customFormat="1">
      <c r="A25" s="142"/>
      <c r="B25" s="170"/>
      <c r="C25" s="402"/>
      <c r="D25" s="471"/>
      <c r="E25" s="471"/>
      <c r="F25" s="402" t="s">
        <v>1417</v>
      </c>
      <c r="G25" s="268" t="s">
        <v>870</v>
      </c>
      <c r="H25" s="170"/>
    </row>
    <row r="26" spans="1:9" s="122" customFormat="1">
      <c r="A26" s="142"/>
      <c r="B26" s="170"/>
      <c r="C26" s="477">
        <v>2017</v>
      </c>
      <c r="D26" s="471"/>
      <c r="E26" s="471"/>
      <c r="F26" s="471">
        <f>F17</f>
        <v>56791187976.540001</v>
      </c>
      <c r="G26" s="478">
        <f>F18</f>
        <v>12503926117.57</v>
      </c>
      <c r="H26" s="170"/>
    </row>
    <row r="27" spans="1:9" s="122" customFormat="1">
      <c r="A27" s="142"/>
      <c r="B27" s="170"/>
      <c r="C27" s="477">
        <v>2018</v>
      </c>
      <c r="D27" s="471"/>
      <c r="E27" s="471"/>
      <c r="F27" s="471">
        <f>E17</f>
        <v>66719055756.209991</v>
      </c>
      <c r="G27" s="478">
        <f>E18</f>
        <v>9997051141.0799999</v>
      </c>
      <c r="H27" s="170"/>
    </row>
    <row r="28" spans="1:9" s="122" customFormat="1">
      <c r="A28" s="142"/>
      <c r="B28" s="170"/>
      <c r="C28" s="402"/>
      <c r="D28" s="471"/>
      <c r="E28" s="471"/>
      <c r="F28" s="402"/>
      <c r="G28" s="268"/>
      <c r="H28" s="170"/>
    </row>
    <row r="29" spans="1:9" s="122" customFormat="1">
      <c r="A29" s="142"/>
      <c r="B29" s="170"/>
      <c r="C29" s="402"/>
      <c r="D29" s="471"/>
      <c r="E29" s="471"/>
      <c r="F29" s="402" t="s">
        <v>1417</v>
      </c>
      <c r="G29" s="268" t="s">
        <v>870</v>
      </c>
      <c r="H29" s="170"/>
    </row>
    <row r="30" spans="1:9" s="122" customFormat="1">
      <c r="A30" s="142"/>
      <c r="B30" s="170"/>
      <c r="C30" s="477">
        <v>2017</v>
      </c>
      <c r="D30" s="471"/>
      <c r="E30" s="471"/>
      <c r="F30" s="471">
        <f>F21</f>
        <v>58135765434.620003</v>
      </c>
      <c r="G30" s="478">
        <f>F22</f>
        <v>13353306731.450001</v>
      </c>
      <c r="H30" s="170"/>
    </row>
    <row r="31" spans="1:9" s="122" customFormat="1">
      <c r="A31" s="142"/>
      <c r="B31" s="170"/>
      <c r="C31" s="477">
        <v>2018</v>
      </c>
      <c r="D31" s="471"/>
      <c r="E31" s="471"/>
      <c r="F31" s="471">
        <f>E21</f>
        <v>66492183786.270004</v>
      </c>
      <c r="G31" s="478">
        <f>E22</f>
        <v>11966138376.610001</v>
      </c>
      <c r="H31" s="170"/>
    </row>
    <row r="32" spans="1:9" s="122" customFormat="1">
      <c r="A32" s="142"/>
      <c r="B32" s="170"/>
      <c r="C32" s="402"/>
      <c r="D32" s="471"/>
      <c r="E32" s="471"/>
      <c r="F32" s="402"/>
      <c r="G32" s="268"/>
      <c r="H32" s="170"/>
    </row>
    <row r="33" spans="1:8" s="122" customFormat="1">
      <c r="A33" s="142"/>
      <c r="B33" s="170"/>
      <c r="C33" s="402"/>
      <c r="D33" s="471"/>
      <c r="E33" s="471"/>
      <c r="F33" s="402"/>
      <c r="G33" s="268"/>
      <c r="H33" s="170"/>
    </row>
    <row r="34" spans="1:8" s="122" customFormat="1">
      <c r="A34" s="142"/>
      <c r="B34" s="170"/>
      <c r="C34" s="402"/>
      <c r="D34" s="471"/>
      <c r="E34" s="471"/>
      <c r="F34" s="402" t="s">
        <v>1424</v>
      </c>
      <c r="G34" s="479">
        <f>'BUDGET&amp;ACTUAL'!D10/1000000000*10/10</f>
        <v>38.019908660690007</v>
      </c>
      <c r="H34" s="170"/>
    </row>
    <row r="35" spans="1:8" s="122" customFormat="1">
      <c r="A35" s="142"/>
      <c r="B35" s="170"/>
      <c r="C35" s="402"/>
      <c r="D35" s="471"/>
      <c r="E35" s="471"/>
      <c r="F35" s="402" t="s">
        <v>1420</v>
      </c>
      <c r="G35" s="479">
        <f>'BUDGET&amp;ACTUAL'!D11/1000000000</f>
        <v>10.214624926439999</v>
      </c>
      <c r="H35" s="170"/>
    </row>
    <row r="36" spans="1:8" s="122" customFormat="1">
      <c r="A36" s="142"/>
      <c r="B36" s="170"/>
      <c r="C36" s="402"/>
      <c r="D36" s="471"/>
      <c r="E36" s="471"/>
      <c r="F36" s="402" t="s">
        <v>79</v>
      </c>
      <c r="G36" s="479">
        <f>'BUDGET&amp;ACTUAL'!D18/1000000000</f>
        <v>9.7095511410800004</v>
      </c>
      <c r="H36" s="170"/>
    </row>
    <row r="37" spans="1:8" s="122" customFormat="1">
      <c r="A37" s="142"/>
      <c r="B37" s="170"/>
      <c r="C37" s="402"/>
      <c r="D37" s="471"/>
      <c r="E37" s="471"/>
      <c r="F37" s="402" t="s">
        <v>757</v>
      </c>
      <c r="G37" s="479">
        <f>'BUDGET&amp;ACTUAL'!D14/1000000000*10/10</f>
        <v>7.1493081423499998</v>
      </c>
      <c r="H37" s="170"/>
    </row>
    <row r="38" spans="1:8" s="122" customFormat="1">
      <c r="A38" s="142"/>
      <c r="B38" s="170"/>
      <c r="C38" s="402"/>
      <c r="D38" s="471"/>
      <c r="E38" s="471"/>
      <c r="F38" s="402" t="s">
        <v>1989</v>
      </c>
      <c r="G38" s="479">
        <f>'BUDGET&amp;ACTUAL'!D12/1000000000</f>
        <v>6.0091759795999993</v>
      </c>
      <c r="H38" s="170"/>
    </row>
    <row r="39" spans="1:8" s="122" customFormat="1">
      <c r="A39" s="142"/>
      <c r="B39" s="170"/>
      <c r="C39" s="402"/>
      <c r="D39" s="471"/>
      <c r="E39" s="471"/>
      <c r="F39" s="402" t="s">
        <v>765</v>
      </c>
      <c r="G39" s="479">
        <f>'BUDGET&amp;ACTUAL'!D13/1000000000*10/10</f>
        <v>4.7998467153199993</v>
      </c>
      <c r="H39" s="170"/>
    </row>
    <row r="40" spans="1:8" s="122" customFormat="1">
      <c r="A40" s="142"/>
      <c r="B40" s="170"/>
      <c r="C40" s="402"/>
      <c r="D40" s="471"/>
      <c r="E40" s="471"/>
      <c r="F40" s="402" t="s">
        <v>1422</v>
      </c>
      <c r="G40" s="479">
        <f>'BUDGET&amp;ACTUAL'!D19/1000000000</f>
        <v>0.28749999999999998</v>
      </c>
      <c r="H40" s="170"/>
    </row>
    <row r="41" spans="1:8" s="122" customFormat="1">
      <c r="A41" s="142"/>
      <c r="B41" s="170"/>
      <c r="C41" s="402"/>
      <c r="D41" s="471"/>
      <c r="E41" s="471"/>
      <c r="F41" s="402" t="s">
        <v>1559</v>
      </c>
      <c r="G41" s="479">
        <f>'BUDGET&amp;ACTUAL'!D17/1000000000</f>
        <v>0.22500000000000001</v>
      </c>
      <c r="H41" s="170"/>
    </row>
    <row r="42" spans="1:8" s="122" customFormat="1">
      <c r="A42" s="142"/>
      <c r="B42" s="170"/>
      <c r="C42" s="402"/>
      <c r="D42" s="471"/>
      <c r="E42" s="471"/>
      <c r="F42" s="402" t="s">
        <v>1423</v>
      </c>
      <c r="G42" s="479">
        <f>'BUDGET&amp;ACTUAL'!D15/1000000000</f>
        <v>0.24672238181</v>
      </c>
      <c r="H42" s="170"/>
    </row>
    <row r="43" spans="1:8" s="122" customFormat="1">
      <c r="A43" s="142"/>
      <c r="B43" s="170"/>
      <c r="C43" s="402"/>
      <c r="D43" s="471"/>
      <c r="E43" s="471"/>
      <c r="F43" s="402" t="s">
        <v>1421</v>
      </c>
      <c r="G43" s="479">
        <f>'BUDGET&amp;ACTUAL'!D16/1000000000</f>
        <v>5.4468950000000002E-2</v>
      </c>
      <c r="H43" s="170"/>
    </row>
    <row r="44" spans="1:8">
      <c r="G44" s="150">
        <f>SUM(G34:G43)</f>
        <v>76.71610689728999</v>
      </c>
    </row>
    <row r="45" spans="1:8" s="122" customFormat="1">
      <c r="A45" s="142"/>
      <c r="B45" s="170"/>
      <c r="C45" s="402"/>
      <c r="D45" s="471"/>
      <c r="E45" s="471"/>
      <c r="F45" s="480" t="s">
        <v>1425</v>
      </c>
      <c r="G45" s="479">
        <f>'BUDGET&amp;ACTUAL'!D24/1000000000</f>
        <v>18.450740807590002</v>
      </c>
      <c r="H45" s="170"/>
    </row>
    <row r="46" spans="1:8" s="122" customFormat="1">
      <c r="A46" s="142"/>
      <c r="B46" s="170"/>
      <c r="C46" s="402"/>
      <c r="D46" s="471"/>
      <c r="E46" s="471"/>
      <c r="F46" s="480" t="s">
        <v>1430</v>
      </c>
      <c r="G46" s="479">
        <f>'BUDGET&amp;ACTUAL'!D30/1000000000</f>
        <v>14.595378328100001</v>
      </c>
      <c r="H46" s="170"/>
    </row>
    <row r="47" spans="1:8" s="122" customFormat="1">
      <c r="A47" s="142"/>
      <c r="B47" s="170"/>
      <c r="C47" s="402"/>
      <c r="D47" s="471"/>
      <c r="E47" s="471"/>
      <c r="F47" s="480" t="s">
        <v>1431</v>
      </c>
      <c r="G47" s="479">
        <f>'BUDGET&amp;ACTUAL'!D33/1000000000</f>
        <v>11.966138376610001</v>
      </c>
      <c r="H47" s="170"/>
    </row>
    <row r="48" spans="1:8" s="122" customFormat="1">
      <c r="A48" s="142"/>
      <c r="B48" s="170"/>
      <c r="C48" s="402"/>
      <c r="D48" s="471"/>
      <c r="E48" s="471"/>
      <c r="F48" s="480" t="s">
        <v>1429</v>
      </c>
      <c r="G48" s="479">
        <f>'BUDGET&amp;ACTUAL'!D29/1000000000</f>
        <v>12.35605409872</v>
      </c>
      <c r="H48" s="170"/>
    </row>
    <row r="49" spans="1:8" s="122" customFormat="1">
      <c r="A49" s="142"/>
      <c r="B49" s="170"/>
      <c r="C49" s="402"/>
      <c r="D49" s="471"/>
      <c r="E49" s="471"/>
      <c r="F49" s="480" t="s">
        <v>1433</v>
      </c>
      <c r="G49" s="479">
        <f>'BUDGET&amp;ACTUAL'!D36/1000000000</f>
        <v>6.8651261534799994</v>
      </c>
      <c r="H49" s="170"/>
    </row>
    <row r="50" spans="1:8" s="122" customFormat="1">
      <c r="A50" s="142"/>
      <c r="B50" s="170"/>
      <c r="C50" s="402"/>
      <c r="D50" s="471"/>
      <c r="E50" s="471"/>
      <c r="F50" s="480" t="s">
        <v>1427</v>
      </c>
      <c r="G50" s="479">
        <f>'BUDGET&amp;ACTUAL'!D27/1000000000</f>
        <v>5.2719399000900005</v>
      </c>
      <c r="H50" s="170"/>
    </row>
    <row r="51" spans="1:8" s="122" customFormat="1">
      <c r="A51" s="142"/>
      <c r="B51" s="170"/>
      <c r="C51" s="402"/>
      <c r="D51" s="471"/>
      <c r="E51" s="471"/>
      <c r="F51" s="480" t="s">
        <v>690</v>
      </c>
      <c r="G51" s="479">
        <f>'BUDGET&amp;ACTUAL'!D34/1000000000</f>
        <v>5.3253118027599999</v>
      </c>
      <c r="H51" s="170"/>
    </row>
    <row r="52" spans="1:8" s="122" customFormat="1">
      <c r="A52" s="142"/>
      <c r="B52" s="170"/>
      <c r="C52" s="402"/>
      <c r="D52" s="471"/>
      <c r="E52" s="471"/>
      <c r="F52" s="480" t="s">
        <v>1428</v>
      </c>
      <c r="G52" s="479">
        <f>'BUDGET&amp;ACTUAL'!D28/1000000000</f>
        <v>2.6154562997799999</v>
      </c>
      <c r="H52" s="170"/>
    </row>
    <row r="53" spans="1:8" s="122" customFormat="1">
      <c r="A53" s="142"/>
      <c r="B53" s="170"/>
      <c r="C53" s="402"/>
      <c r="D53" s="471"/>
      <c r="E53" s="471"/>
      <c r="F53" s="480" t="s">
        <v>1432</v>
      </c>
      <c r="G53" s="479">
        <f>'BUDGET&amp;ACTUAL'!D35/1000000000</f>
        <v>0.42319634428000003</v>
      </c>
      <c r="H53" s="170"/>
    </row>
    <row r="54" spans="1:8" s="122" customFormat="1">
      <c r="A54" s="142"/>
      <c r="B54" s="170"/>
      <c r="C54" s="402"/>
      <c r="D54" s="471"/>
      <c r="E54" s="471"/>
      <c r="F54" s="480" t="s">
        <v>1426</v>
      </c>
      <c r="G54" s="479">
        <f>'BUDGET&amp;ACTUAL'!D25/1000000000</f>
        <v>0.42651110146999999</v>
      </c>
      <c r="H54" s="170"/>
    </row>
    <row r="55" spans="1:8" s="174" customFormat="1">
      <c r="A55" s="508"/>
      <c r="B55" s="170"/>
      <c r="C55" s="402"/>
      <c r="D55" s="471"/>
      <c r="E55" s="471"/>
      <c r="F55" s="480" t="s">
        <v>2006</v>
      </c>
      <c r="G55" s="479">
        <f>'BUDGET&amp;ACTUAL'!D26/1000000000</f>
        <v>0.108</v>
      </c>
      <c r="H55" s="170"/>
    </row>
    <row r="56" spans="1:8" s="122" customFormat="1">
      <c r="A56" s="142"/>
      <c r="B56" s="170"/>
      <c r="C56" s="402"/>
      <c r="D56" s="471"/>
      <c r="E56" s="471"/>
      <c r="F56" s="480" t="s">
        <v>1421</v>
      </c>
      <c r="G56" s="479">
        <f>'BUDGET&amp;ACTUAL'!D31/1000000000</f>
        <v>5.4468950000000002E-2</v>
      </c>
      <c r="H56" s="170"/>
    </row>
    <row r="57" spans="1:8">
      <c r="G57" s="150">
        <f>SUM(G45:G56)</f>
        <v>78.458322162880023</v>
      </c>
    </row>
  </sheetData>
  <sortState ref="F35:G43">
    <sortCondition descending="1" ref="G35:G43"/>
  </sortState>
  <mergeCells count="4">
    <mergeCell ref="B1:H1"/>
    <mergeCell ref="B2:H2"/>
    <mergeCell ref="B3:H3"/>
    <mergeCell ref="B14:G14"/>
  </mergeCells>
  <pageMargins left="0.5" right="0.5" top="0.75" bottom="0.5" header="0.3" footer="0.5"/>
  <pageSetup paperSize="9" firstPageNumber="145" orientation="landscape" useFirstPageNumber="1" horizontalDpi="300" verticalDpi="300" r:id="rId1"/>
  <headerFooter>
    <oddHeader>&amp;CReport of the Accountant-General of Ekiti State for the year ended 31th December, 2018</oddHeader>
    <oddFooter>&amp;R&amp;P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="106" zoomScaleNormal="106" workbookViewId="0">
      <selection activeCell="B1" sqref="B1:K1"/>
    </sheetView>
  </sheetViews>
  <sheetFormatPr defaultRowHeight="15"/>
  <cols>
    <col min="1" max="1" width="2.85546875" style="142" customWidth="1"/>
    <col min="2" max="2" width="7" style="170" customWidth="1"/>
    <col min="3" max="4" width="13.7109375" style="402" customWidth="1"/>
    <col min="5" max="10" width="13.7109375" style="268" customWidth="1"/>
    <col min="11" max="11" width="13.7109375" style="170" customWidth="1"/>
    <col min="12" max="12" width="9.140625" style="142"/>
    <col min="13" max="13" width="19.42578125" hidden="1" customWidth="1"/>
  </cols>
  <sheetData>
    <row r="1" spans="1:13" s="108" customFormat="1" ht="24.95" customHeight="1">
      <c r="A1" s="142"/>
      <c r="B1" s="599" t="s">
        <v>0</v>
      </c>
      <c r="C1" s="599"/>
      <c r="D1" s="599"/>
      <c r="E1" s="599"/>
      <c r="F1" s="599"/>
      <c r="G1" s="599"/>
      <c r="H1" s="599"/>
      <c r="I1" s="599"/>
      <c r="J1" s="599"/>
      <c r="K1" s="599"/>
      <c r="L1" s="142"/>
    </row>
    <row r="2" spans="1:13" s="108" customFormat="1" ht="24.95" customHeight="1">
      <c r="A2" s="142"/>
      <c r="B2" s="600" t="s">
        <v>1571</v>
      </c>
      <c r="C2" s="600"/>
      <c r="D2" s="600"/>
      <c r="E2" s="600"/>
      <c r="F2" s="600"/>
      <c r="G2" s="600"/>
      <c r="H2" s="600"/>
      <c r="I2" s="600"/>
      <c r="J2" s="600"/>
      <c r="K2" s="600"/>
      <c r="L2" s="142"/>
    </row>
    <row r="3" spans="1:13" s="108" customFormat="1" ht="24.95" customHeight="1">
      <c r="A3" s="142"/>
      <c r="B3" s="599" t="s">
        <v>2049</v>
      </c>
      <c r="C3" s="599"/>
      <c r="D3" s="599"/>
      <c r="E3" s="599"/>
      <c r="F3" s="599"/>
      <c r="G3" s="599"/>
      <c r="H3" s="599"/>
      <c r="I3" s="599"/>
      <c r="J3" s="599"/>
      <c r="K3" s="599"/>
      <c r="L3" s="142"/>
    </row>
    <row r="4" spans="1:13" ht="12.75" customHeight="1"/>
    <row r="5" spans="1:13" ht="20.100000000000001" customHeight="1">
      <c r="B5" s="481"/>
      <c r="C5" s="670" t="s">
        <v>739</v>
      </c>
      <c r="D5" s="670"/>
      <c r="E5" s="671"/>
      <c r="F5" s="669" t="s">
        <v>740</v>
      </c>
      <c r="G5" s="670"/>
      <c r="H5" s="671"/>
      <c r="I5" s="669" t="s">
        <v>1357</v>
      </c>
      <c r="J5" s="670"/>
      <c r="K5" s="671"/>
    </row>
    <row r="6" spans="1:13" ht="26.25" customHeight="1">
      <c r="B6" s="371" t="s">
        <v>1339</v>
      </c>
      <c r="C6" s="482" t="s">
        <v>1342</v>
      </c>
      <c r="D6" s="371" t="s">
        <v>1341</v>
      </c>
      <c r="E6" s="320" t="s">
        <v>1340</v>
      </c>
      <c r="F6" s="482" t="s">
        <v>1342</v>
      </c>
      <c r="G6" s="371" t="s">
        <v>1348</v>
      </c>
      <c r="H6" s="320" t="s">
        <v>1340</v>
      </c>
      <c r="I6" s="371" t="s">
        <v>1343</v>
      </c>
      <c r="J6" s="371" t="s">
        <v>1344</v>
      </c>
      <c r="K6" s="320" t="s">
        <v>704</v>
      </c>
    </row>
    <row r="7" spans="1:13" s="5" customFormat="1" ht="20.100000000000001" customHeight="1">
      <c r="A7" s="205"/>
      <c r="B7" s="304"/>
      <c r="C7" s="482" t="s">
        <v>75</v>
      </c>
      <c r="D7" s="483" t="s">
        <v>76</v>
      </c>
      <c r="E7" s="484" t="s">
        <v>1345</v>
      </c>
      <c r="F7" s="484" t="s">
        <v>77</v>
      </c>
      <c r="G7" s="484" t="s">
        <v>85</v>
      </c>
      <c r="H7" s="484" t="s">
        <v>954</v>
      </c>
      <c r="I7" s="484" t="s">
        <v>1346</v>
      </c>
      <c r="J7" s="484" t="s">
        <v>1347</v>
      </c>
      <c r="K7" s="484" t="s">
        <v>712</v>
      </c>
      <c r="L7" s="205"/>
    </row>
    <row r="8" spans="1:13" s="26" customFormat="1" ht="20.100000000000001" customHeight="1">
      <c r="A8" s="263"/>
      <c r="B8" s="371"/>
      <c r="C8" s="320" t="s">
        <v>1349</v>
      </c>
      <c r="D8" s="320" t="s">
        <v>1349</v>
      </c>
      <c r="E8" s="320" t="s">
        <v>1349</v>
      </c>
      <c r="F8" s="320" t="s">
        <v>1349</v>
      </c>
      <c r="G8" s="320" t="s">
        <v>1349</v>
      </c>
      <c r="H8" s="320" t="s">
        <v>1349</v>
      </c>
      <c r="I8" s="320" t="s">
        <v>1349</v>
      </c>
      <c r="J8" s="320" t="s">
        <v>1349</v>
      </c>
      <c r="K8" s="320" t="s">
        <v>1349</v>
      </c>
      <c r="L8" s="263"/>
    </row>
    <row r="9" spans="1:13" s="26" customFormat="1" ht="20.100000000000001" customHeight="1">
      <c r="A9" s="263"/>
      <c r="B9" s="485">
        <v>2011</v>
      </c>
      <c r="C9" s="486">
        <f>E9-D9</f>
        <v>714954326.38199997</v>
      </c>
      <c r="D9" s="93">
        <f>0.4*E9</f>
        <v>476636217.58800006</v>
      </c>
      <c r="E9" s="93">
        <v>1191590543.97</v>
      </c>
      <c r="F9" s="93">
        <f>H9-G9</f>
        <v>0</v>
      </c>
      <c r="G9" s="93">
        <f>0.4*H9</f>
        <v>0</v>
      </c>
      <c r="H9" s="93">
        <v>0</v>
      </c>
      <c r="I9" s="93">
        <f>C9+F9</f>
        <v>714954326.38199997</v>
      </c>
      <c r="J9" s="93">
        <f>D9+G9</f>
        <v>476636217.58800006</v>
      </c>
      <c r="K9" s="487">
        <f>I9+J9</f>
        <v>1191590543.97</v>
      </c>
      <c r="L9" s="263"/>
    </row>
    <row r="10" spans="1:13" s="6" customFormat="1" ht="20.100000000000001" customHeight="1">
      <c r="A10" s="169"/>
      <c r="B10" s="332">
        <v>2012</v>
      </c>
      <c r="C10" s="486">
        <f t="shared" ref="C10:C16" si="0">E10-D10</f>
        <v>2859817017.5279999</v>
      </c>
      <c r="D10" s="93">
        <f t="shared" ref="D10:D16" si="1">0.4*E10</f>
        <v>1906544678.3520002</v>
      </c>
      <c r="E10" s="487">
        <v>4766361695.8800001</v>
      </c>
      <c r="F10" s="93">
        <f t="shared" ref="F10:F16" si="2">H10-G10</f>
        <v>0</v>
      </c>
      <c r="G10" s="93">
        <f>0.4*H10</f>
        <v>0</v>
      </c>
      <c r="H10" s="487">
        <v>0</v>
      </c>
      <c r="I10" s="93">
        <f t="shared" ref="I10:I16" si="3">C10+F10</f>
        <v>2859817017.5279999</v>
      </c>
      <c r="J10" s="93">
        <f t="shared" ref="J10:J16" si="4">D10+G10</f>
        <v>1906544678.3520002</v>
      </c>
      <c r="K10" s="487">
        <f t="shared" ref="K10:K16" si="5">I10+J10</f>
        <v>4766361695.8800001</v>
      </c>
      <c r="L10" s="169"/>
    </row>
    <row r="11" spans="1:13" ht="20.100000000000001" customHeight="1">
      <c r="B11" s="332">
        <v>2013</v>
      </c>
      <c r="C11" s="486">
        <f t="shared" si="0"/>
        <v>2859817017.5279999</v>
      </c>
      <c r="D11" s="93">
        <f t="shared" si="1"/>
        <v>1906544678.3520002</v>
      </c>
      <c r="E11" s="488">
        <v>4766361695.8800001</v>
      </c>
      <c r="F11" s="93">
        <f t="shared" si="2"/>
        <v>0</v>
      </c>
      <c r="G11" s="93">
        <f>0.4*H11</f>
        <v>0</v>
      </c>
      <c r="H11" s="488">
        <v>0</v>
      </c>
      <c r="I11" s="93">
        <f t="shared" si="3"/>
        <v>2859817017.5279999</v>
      </c>
      <c r="J11" s="93">
        <f t="shared" si="4"/>
        <v>1906544678.3520002</v>
      </c>
      <c r="K11" s="487">
        <f t="shared" si="5"/>
        <v>4766361695.8800001</v>
      </c>
    </row>
    <row r="12" spans="1:13" ht="20.100000000000001" customHeight="1">
      <c r="B12" s="332">
        <v>2014</v>
      </c>
      <c r="C12" s="486">
        <f t="shared" si="0"/>
        <v>2859818217.5939999</v>
      </c>
      <c r="D12" s="93">
        <f t="shared" si="1"/>
        <v>1906545478.3959999</v>
      </c>
      <c r="E12" s="488">
        <v>4766363695.9899998</v>
      </c>
      <c r="F12" s="93">
        <f t="shared" si="2"/>
        <v>713107680.04060006</v>
      </c>
      <c r="G12" s="93">
        <f>0.42*H12</f>
        <v>516388320.02939993</v>
      </c>
      <c r="H12" s="488">
        <v>1229496000.0699999</v>
      </c>
      <c r="I12" s="93">
        <f t="shared" si="3"/>
        <v>3572925897.6345997</v>
      </c>
      <c r="J12" s="93">
        <f t="shared" si="4"/>
        <v>2422933798.4253998</v>
      </c>
      <c r="K12" s="487">
        <f t="shared" si="5"/>
        <v>5995859696.0599995</v>
      </c>
    </row>
    <row r="13" spans="1:13" s="6" customFormat="1" ht="20.100000000000001" customHeight="1">
      <c r="A13" s="169"/>
      <c r="B13" s="332">
        <v>2015</v>
      </c>
      <c r="C13" s="486">
        <f t="shared" si="0"/>
        <v>2859817016.3999996</v>
      </c>
      <c r="D13" s="93">
        <f t="shared" si="1"/>
        <v>1906544677.6000001</v>
      </c>
      <c r="E13" s="488">
        <v>4766361694</v>
      </c>
      <c r="F13" s="93">
        <f t="shared" si="2"/>
        <v>713107678.90960002</v>
      </c>
      <c r="G13" s="93">
        <f>0.42*H13</f>
        <v>516388319.21039993</v>
      </c>
      <c r="H13" s="488">
        <v>1229495998.1199999</v>
      </c>
      <c r="I13" s="93">
        <f t="shared" si="3"/>
        <v>3572924695.3095999</v>
      </c>
      <c r="J13" s="93">
        <f t="shared" si="4"/>
        <v>2422932996.8104</v>
      </c>
      <c r="K13" s="487">
        <f t="shared" si="5"/>
        <v>5995857692.1199999</v>
      </c>
      <c r="L13" s="169"/>
      <c r="M13" s="64"/>
    </row>
    <row r="14" spans="1:13" ht="20.100000000000001" customHeight="1">
      <c r="B14" s="485">
        <v>2016</v>
      </c>
      <c r="C14" s="486">
        <f t="shared" si="0"/>
        <v>2859817016.3999996</v>
      </c>
      <c r="D14" s="93">
        <f t="shared" si="1"/>
        <v>1906544677.6000001</v>
      </c>
      <c r="E14" s="487">
        <v>4766361694</v>
      </c>
      <c r="F14" s="93">
        <f t="shared" si="2"/>
        <v>713107678.90960002</v>
      </c>
      <c r="G14" s="93">
        <f>0.42*H14</f>
        <v>516388319.21039993</v>
      </c>
      <c r="H14" s="488">
        <v>1229495998.1199999</v>
      </c>
      <c r="I14" s="93">
        <f t="shared" si="3"/>
        <v>3572924695.3095999</v>
      </c>
      <c r="J14" s="93">
        <f t="shared" si="4"/>
        <v>2422932996.8104</v>
      </c>
      <c r="K14" s="487">
        <f t="shared" si="5"/>
        <v>5995857692.1199999</v>
      </c>
    </row>
    <row r="15" spans="1:13" ht="20.100000000000001" customHeight="1">
      <c r="B15" s="485">
        <v>2017</v>
      </c>
      <c r="C15" s="486">
        <f t="shared" si="0"/>
        <v>2859817016.3999996</v>
      </c>
      <c r="D15" s="93">
        <f t="shared" si="1"/>
        <v>1906544677.6000001</v>
      </c>
      <c r="E15" s="487">
        <v>4766361694</v>
      </c>
      <c r="F15" s="93">
        <f t="shared" si="2"/>
        <v>713107678.90960002</v>
      </c>
      <c r="G15" s="93">
        <f>0.42*H15</f>
        <v>516388319.21039993</v>
      </c>
      <c r="H15" s="488">
        <v>1229495998.1199999</v>
      </c>
      <c r="I15" s="93">
        <f t="shared" si="3"/>
        <v>3572924695.3095999</v>
      </c>
      <c r="J15" s="93">
        <f t="shared" si="4"/>
        <v>2422932996.8104</v>
      </c>
      <c r="K15" s="487">
        <f t="shared" si="5"/>
        <v>5995857692.1199999</v>
      </c>
    </row>
    <row r="16" spans="1:13" s="152" customFormat="1" ht="20.100000000000001" customHeight="1">
      <c r="A16" s="142"/>
      <c r="B16" s="485">
        <v>2018</v>
      </c>
      <c r="C16" s="486">
        <f t="shared" si="0"/>
        <v>2144862763.1999998</v>
      </c>
      <c r="D16" s="93">
        <f t="shared" si="1"/>
        <v>1429908508.8000002</v>
      </c>
      <c r="E16" s="487">
        <v>3574771272</v>
      </c>
      <c r="F16" s="93">
        <f t="shared" si="2"/>
        <v>713107680.06959987</v>
      </c>
      <c r="G16" s="93">
        <f>0.42*H16</f>
        <v>516388320.05039996</v>
      </c>
      <c r="H16" s="488">
        <v>1229496000.1199999</v>
      </c>
      <c r="I16" s="93">
        <f t="shared" si="3"/>
        <v>2857970443.2695999</v>
      </c>
      <c r="J16" s="93">
        <f t="shared" si="4"/>
        <v>1946296828.8504002</v>
      </c>
      <c r="K16" s="487">
        <f t="shared" si="5"/>
        <v>4804267272.1199999</v>
      </c>
      <c r="L16" s="142"/>
    </row>
    <row r="17" spans="1:13" ht="20.100000000000001" customHeight="1">
      <c r="B17" s="304" t="s">
        <v>65</v>
      </c>
      <c r="C17" s="489">
        <f t="shared" ref="C17:K17" si="6">SUM(C9:C16)</f>
        <v>20018720391.431999</v>
      </c>
      <c r="D17" s="489">
        <f t="shared" si="6"/>
        <v>13345813594.288002</v>
      </c>
      <c r="E17" s="489">
        <f t="shared" si="6"/>
        <v>33364533985.720001</v>
      </c>
      <c r="F17" s="489">
        <f t="shared" si="6"/>
        <v>3565538396.8389997</v>
      </c>
      <c r="G17" s="489">
        <f t="shared" si="6"/>
        <v>2581941597.7109995</v>
      </c>
      <c r="H17" s="489">
        <f t="shared" si="6"/>
        <v>6147479994.5499992</v>
      </c>
      <c r="I17" s="489">
        <f t="shared" si="6"/>
        <v>23584258788.271</v>
      </c>
      <c r="J17" s="489">
        <f t="shared" si="6"/>
        <v>15927755191.999002</v>
      </c>
      <c r="K17" s="489">
        <f t="shared" si="6"/>
        <v>39512013980.270004</v>
      </c>
      <c r="M17" s="65">
        <f>D17-E17</f>
        <v>-20018720391.431999</v>
      </c>
    </row>
    <row r="18" spans="1:13" ht="8.25" customHeight="1">
      <c r="B18" s="490"/>
      <c r="C18" s="491"/>
      <c r="D18" s="491"/>
      <c r="E18" s="491"/>
      <c r="F18" s="491"/>
      <c r="G18" s="491"/>
      <c r="H18" s="491"/>
      <c r="I18" s="491"/>
      <c r="J18" s="491"/>
      <c r="K18" s="491"/>
      <c r="M18" s="65"/>
    </row>
    <row r="19" spans="1:13" ht="14.25" customHeight="1">
      <c r="B19" s="492"/>
      <c r="C19" s="415"/>
      <c r="D19" s="493"/>
      <c r="E19" s="667" t="s">
        <v>629</v>
      </c>
      <c r="F19" s="667"/>
      <c r="G19" s="667"/>
      <c r="H19" s="493"/>
      <c r="I19" s="493"/>
      <c r="J19" s="493"/>
      <c r="K19" s="440"/>
      <c r="M19" s="65" t="e">
        <f t="shared" ref="M19:M25" si="7">D19-E19</f>
        <v>#VALUE!</v>
      </c>
    </row>
    <row r="20" spans="1:13" ht="20.100000000000001" customHeight="1">
      <c r="B20" s="672" t="s">
        <v>693</v>
      </c>
      <c r="C20" s="672"/>
      <c r="D20" s="672"/>
      <c r="E20" s="672"/>
      <c r="F20" s="668" t="s">
        <v>1350</v>
      </c>
      <c r="G20" s="668"/>
      <c r="H20" s="668" t="s">
        <v>1356</v>
      </c>
      <c r="I20" s="668"/>
      <c r="J20" s="668" t="s">
        <v>1351</v>
      </c>
      <c r="K20" s="668"/>
      <c r="M20" s="65"/>
    </row>
    <row r="21" spans="1:13" ht="20.100000000000001" customHeight="1">
      <c r="B21" s="666" t="s">
        <v>1352</v>
      </c>
      <c r="C21" s="666"/>
      <c r="D21" s="666"/>
      <c r="E21" s="666"/>
      <c r="F21" s="664">
        <v>20000000000</v>
      </c>
      <c r="G21" s="665"/>
      <c r="H21" s="677">
        <v>5000000000</v>
      </c>
      <c r="I21" s="678"/>
      <c r="J21" s="664">
        <f>F21+H21</f>
        <v>25000000000</v>
      </c>
      <c r="K21" s="665"/>
      <c r="M21" s="65">
        <f t="shared" si="7"/>
        <v>0</v>
      </c>
    </row>
    <row r="22" spans="1:13" s="6" customFormat="1" ht="20.100000000000001" customHeight="1">
      <c r="A22" s="169"/>
      <c r="B22" s="682" t="s">
        <v>1353</v>
      </c>
      <c r="C22" s="682"/>
      <c r="D22" s="682"/>
      <c r="E22" s="682"/>
      <c r="F22" s="659">
        <v>13364531872</v>
      </c>
      <c r="G22" s="660"/>
      <c r="H22" s="659">
        <v>3606472000.8400002</v>
      </c>
      <c r="I22" s="660"/>
      <c r="J22" s="664">
        <f>F22+H22</f>
        <v>16971003872.84</v>
      </c>
      <c r="K22" s="665"/>
      <c r="L22" s="169"/>
      <c r="M22" s="65">
        <f t="shared" si="7"/>
        <v>0</v>
      </c>
    </row>
    <row r="23" spans="1:13" s="6" customFormat="1" ht="20.100000000000001" customHeight="1">
      <c r="A23" s="169"/>
      <c r="B23" s="661" t="s">
        <v>1354</v>
      </c>
      <c r="C23" s="662"/>
      <c r="D23" s="662"/>
      <c r="E23" s="663"/>
      <c r="F23" s="659">
        <f>F22+F21</f>
        <v>33364531872</v>
      </c>
      <c r="G23" s="660"/>
      <c r="H23" s="659">
        <f>H22+H21</f>
        <v>8606472000.8400002</v>
      </c>
      <c r="I23" s="660"/>
      <c r="J23" s="664">
        <f>F23+H23</f>
        <v>41971003872.839996</v>
      </c>
      <c r="K23" s="665"/>
      <c r="L23" s="169"/>
      <c r="M23" s="65">
        <f t="shared" si="7"/>
        <v>0</v>
      </c>
    </row>
    <row r="24" spans="1:13" s="6" customFormat="1" ht="20.100000000000001" customHeight="1">
      <c r="A24" s="169"/>
      <c r="B24" s="661" t="s">
        <v>1926</v>
      </c>
      <c r="C24" s="662"/>
      <c r="D24" s="662"/>
      <c r="E24" s="663"/>
      <c r="F24" s="659">
        <f>E17</f>
        <v>33364533985.720001</v>
      </c>
      <c r="G24" s="660"/>
      <c r="H24" s="659">
        <f>H17</f>
        <v>6147479994.5499992</v>
      </c>
      <c r="I24" s="660"/>
      <c r="J24" s="664">
        <f>F24+H24</f>
        <v>39512013980.270004</v>
      </c>
      <c r="K24" s="665"/>
      <c r="L24" s="169"/>
      <c r="M24" s="65">
        <f t="shared" si="7"/>
        <v>0</v>
      </c>
    </row>
    <row r="25" spans="1:13" ht="20.100000000000001" customHeight="1">
      <c r="B25" s="679" t="s">
        <v>1355</v>
      </c>
      <c r="C25" s="680"/>
      <c r="D25" s="680"/>
      <c r="E25" s="681"/>
      <c r="F25" s="673">
        <f>F23-F24</f>
        <v>-2113.7200012207031</v>
      </c>
      <c r="G25" s="674"/>
      <c r="H25" s="673">
        <f>H23-H24</f>
        <v>2458992006.2900009</v>
      </c>
      <c r="I25" s="674"/>
      <c r="J25" s="675">
        <f>F25+H25</f>
        <v>2458989892.5699997</v>
      </c>
      <c r="K25" s="676"/>
      <c r="M25" s="65">
        <f t="shared" si="7"/>
        <v>0</v>
      </c>
    </row>
  </sheetData>
  <mergeCells count="31">
    <mergeCell ref="B25:E25"/>
    <mergeCell ref="F22:G22"/>
    <mergeCell ref="F23:G23"/>
    <mergeCell ref="F24:G24"/>
    <mergeCell ref="F25:G25"/>
    <mergeCell ref="B22:E22"/>
    <mergeCell ref="B23:E23"/>
    <mergeCell ref="H25:I25"/>
    <mergeCell ref="J21:K21"/>
    <mergeCell ref="J22:K22"/>
    <mergeCell ref="J23:K23"/>
    <mergeCell ref="J24:K24"/>
    <mergeCell ref="J25:K25"/>
    <mergeCell ref="H21:I21"/>
    <mergeCell ref="H22:I22"/>
    <mergeCell ref="H23:I23"/>
    <mergeCell ref="B1:K1"/>
    <mergeCell ref="B2:K2"/>
    <mergeCell ref="B3:K3"/>
    <mergeCell ref="H24:I24"/>
    <mergeCell ref="B24:E24"/>
    <mergeCell ref="F21:G21"/>
    <mergeCell ref="B21:E21"/>
    <mergeCell ref="E19:G19"/>
    <mergeCell ref="F20:G20"/>
    <mergeCell ref="H20:I20"/>
    <mergeCell ref="I5:K5"/>
    <mergeCell ref="J20:K20"/>
    <mergeCell ref="F5:H5"/>
    <mergeCell ref="C5:E5"/>
    <mergeCell ref="B20:E20"/>
  </mergeCells>
  <pageMargins left="0.5" right="0.5" top="0.75" bottom="0.5" header="0.3" footer="0.5"/>
  <pageSetup paperSize="9" firstPageNumber="146" orientation="landscape" useFirstPageNumber="1" horizontalDpi="300" verticalDpi="300" r:id="rId1"/>
  <headerFooter>
    <oddHeader>&amp;CReport of the Accountant-General of Ekiti State for the year ended 31st December, 2017</oddHeader>
    <oddFooter>&amp;R&amp;P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9"/>
  <sheetViews>
    <sheetView topLeftCell="A16" workbookViewId="0">
      <selection activeCell="K24" sqref="K24"/>
    </sheetView>
  </sheetViews>
  <sheetFormatPr defaultRowHeight="15"/>
  <cols>
    <col min="1" max="1" width="2.28515625" style="85" customWidth="1"/>
    <col min="2" max="2" width="4.42578125" style="84" customWidth="1"/>
    <col min="3" max="3" width="16.28515625" style="85" customWidth="1"/>
    <col min="4" max="5" width="12" style="85" customWidth="1"/>
    <col min="6" max="6" width="11.85546875" style="85" customWidth="1"/>
    <col min="7" max="7" width="12.7109375" style="85" customWidth="1"/>
    <col min="8" max="8" width="11.140625" style="85" customWidth="1"/>
    <col min="9" max="9" width="9.5703125" style="85" customWidth="1"/>
    <col min="10" max="10" width="11.42578125" style="85" customWidth="1"/>
    <col min="11" max="11" width="12.7109375" style="85" customWidth="1"/>
    <col min="12" max="12" width="12.140625" style="85" customWidth="1"/>
    <col min="13" max="13" width="14.7109375" style="27" customWidth="1"/>
    <col min="14" max="16384" width="9.140625" style="85"/>
  </cols>
  <sheetData>
    <row r="1" spans="2:13" ht="24.95" customHeight="1">
      <c r="B1" s="683" t="s">
        <v>0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2:13" ht="24.95" customHeight="1">
      <c r="B2" s="684" t="s">
        <v>1453</v>
      </c>
      <c r="C2" s="684"/>
      <c r="D2" s="684"/>
      <c r="E2" s="684"/>
      <c r="F2" s="684"/>
      <c r="G2" s="684"/>
      <c r="H2" s="684"/>
      <c r="I2" s="684"/>
      <c r="J2" s="684"/>
      <c r="K2" s="684"/>
      <c r="L2" s="684"/>
      <c r="M2" s="684"/>
    </row>
    <row r="3" spans="2:13" ht="24.95" customHeight="1">
      <c r="B3" s="684" t="s">
        <v>336</v>
      </c>
      <c r="C3" s="684"/>
      <c r="D3" s="684"/>
      <c r="E3" s="684"/>
      <c r="F3" s="684"/>
      <c r="G3" s="684"/>
      <c r="H3" s="684"/>
      <c r="I3" s="684"/>
      <c r="J3" s="684"/>
      <c r="K3" s="684"/>
      <c r="L3" s="684"/>
      <c r="M3" s="684"/>
    </row>
    <row r="4" spans="2:13" ht="24.95" customHeight="1">
      <c r="B4" s="685" t="s">
        <v>956</v>
      </c>
      <c r="C4" s="685"/>
      <c r="D4" s="685"/>
      <c r="E4" s="685"/>
      <c r="F4" s="685"/>
      <c r="G4" s="685"/>
      <c r="H4" s="685"/>
      <c r="I4" s="685"/>
      <c r="J4" s="685"/>
      <c r="K4" s="685"/>
      <c r="L4" s="685"/>
      <c r="M4" s="685"/>
    </row>
    <row r="5" spans="2:13" ht="12.75" customHeight="1">
      <c r="B5" s="28"/>
      <c r="C5" s="86"/>
      <c r="D5" s="86"/>
      <c r="E5" s="86"/>
      <c r="F5" s="86"/>
      <c r="G5" s="86"/>
      <c r="H5" s="86"/>
      <c r="I5" s="86"/>
      <c r="J5" s="86"/>
      <c r="K5" s="86"/>
      <c r="L5" s="86"/>
      <c r="M5" s="30"/>
    </row>
    <row r="6" spans="2:13" s="40" customFormat="1" ht="35.25" customHeight="1">
      <c r="B6" s="33" t="s">
        <v>87</v>
      </c>
      <c r="C6" s="33" t="s">
        <v>695</v>
      </c>
      <c r="D6" s="33" t="s">
        <v>1446</v>
      </c>
      <c r="E6" s="33" t="s">
        <v>1445</v>
      </c>
      <c r="F6" s="33" t="s">
        <v>700</v>
      </c>
      <c r="G6" s="33" t="s">
        <v>701</v>
      </c>
      <c r="H6" s="33" t="s">
        <v>702</v>
      </c>
      <c r="I6" s="33" t="s">
        <v>703</v>
      </c>
      <c r="J6" s="33" t="s">
        <v>704</v>
      </c>
      <c r="K6" s="33" t="s">
        <v>1450</v>
      </c>
      <c r="L6" s="33" t="s">
        <v>705</v>
      </c>
      <c r="M6" s="33" t="s">
        <v>1454</v>
      </c>
    </row>
    <row r="7" spans="2:13" s="84" customFormat="1" ht="27.95" customHeight="1">
      <c r="B7" s="87" t="s">
        <v>75</v>
      </c>
      <c r="C7" s="87" t="s">
        <v>76</v>
      </c>
      <c r="D7" s="87" t="s">
        <v>77</v>
      </c>
      <c r="E7" s="87" t="s">
        <v>85</v>
      </c>
      <c r="F7" s="87" t="s">
        <v>954</v>
      </c>
      <c r="G7" s="87" t="s">
        <v>1447</v>
      </c>
      <c r="H7" s="87" t="s">
        <v>697</v>
      </c>
      <c r="I7" s="87" t="s">
        <v>955</v>
      </c>
      <c r="J7" s="87" t="s">
        <v>1448</v>
      </c>
      <c r="K7" s="87" t="s">
        <v>1449</v>
      </c>
      <c r="L7" s="87" t="s">
        <v>1451</v>
      </c>
      <c r="M7" s="78" t="s">
        <v>1452</v>
      </c>
    </row>
    <row r="8" spans="2:13" ht="27.95" customHeight="1">
      <c r="B8" s="87"/>
      <c r="C8" s="2"/>
      <c r="D8" s="37" t="s">
        <v>698</v>
      </c>
      <c r="E8" s="37" t="s">
        <v>698</v>
      </c>
      <c r="F8" s="37" t="s">
        <v>698</v>
      </c>
      <c r="G8" s="37" t="s">
        <v>698</v>
      </c>
      <c r="H8" s="37" t="s">
        <v>698</v>
      </c>
      <c r="I8" s="37" t="s">
        <v>698</v>
      </c>
      <c r="J8" s="37" t="s">
        <v>698</v>
      </c>
      <c r="K8" s="3" t="s">
        <v>3</v>
      </c>
      <c r="L8" s="37" t="s">
        <v>698</v>
      </c>
      <c r="M8" s="92" t="s">
        <v>3</v>
      </c>
    </row>
    <row r="9" spans="2:13" ht="27.95" customHeight="1">
      <c r="B9" s="32">
        <v>1</v>
      </c>
      <c r="C9" s="54" t="s">
        <v>962</v>
      </c>
      <c r="D9" s="90">
        <v>4259653.47</v>
      </c>
      <c r="E9" s="90">
        <v>4516186.38</v>
      </c>
      <c r="F9" s="90">
        <v>0</v>
      </c>
      <c r="G9" s="90">
        <f>E9+F9</f>
        <v>4516186.38</v>
      </c>
      <c r="H9" s="90">
        <v>602158.18999999994</v>
      </c>
      <c r="I9" s="90">
        <v>32742.35</v>
      </c>
      <c r="J9" s="90">
        <f t="shared" ref="J9:J19" si="0">I9+H9</f>
        <v>634900.53999999992</v>
      </c>
      <c r="K9" s="90">
        <f>306*J9</f>
        <v>194279565.23999998</v>
      </c>
      <c r="L9" s="90">
        <f>G9-H9</f>
        <v>3914028.19</v>
      </c>
      <c r="M9" s="90">
        <f>306*L9</f>
        <v>1197692626.1399999</v>
      </c>
    </row>
    <row r="10" spans="2:13" ht="27.95" customHeight="1">
      <c r="B10" s="32">
        <v>2</v>
      </c>
      <c r="C10" s="54" t="s">
        <v>966</v>
      </c>
      <c r="D10" s="90">
        <v>8577446.0999999996</v>
      </c>
      <c r="E10" s="90">
        <v>9094013.3000000007</v>
      </c>
      <c r="F10" s="90">
        <v>0</v>
      </c>
      <c r="G10" s="90">
        <f t="shared" ref="G10:G19" si="1">E10+F10</f>
        <v>9094013.3000000007</v>
      </c>
      <c r="H10" s="90">
        <v>270902.59999999998</v>
      </c>
      <c r="I10" s="90">
        <v>67697.149999999994</v>
      </c>
      <c r="J10" s="90">
        <f t="shared" si="0"/>
        <v>338599.75</v>
      </c>
      <c r="K10" s="90">
        <f t="shared" ref="K10:K19" si="2">306*J10</f>
        <v>103611523.5</v>
      </c>
      <c r="L10" s="90">
        <f t="shared" ref="L10:L19" si="3">G10-H10</f>
        <v>8823110.7000000011</v>
      </c>
      <c r="M10" s="90">
        <f t="shared" ref="M10:M19" si="4">306*L10</f>
        <v>2699871874.2000003</v>
      </c>
    </row>
    <row r="11" spans="2:13" ht="27.95" customHeight="1">
      <c r="B11" s="32">
        <v>3</v>
      </c>
      <c r="C11" s="54" t="s">
        <v>963</v>
      </c>
      <c r="D11" s="90">
        <v>2899322.65</v>
      </c>
      <c r="E11" s="90">
        <v>2899322.65</v>
      </c>
      <c r="F11" s="90">
        <v>0</v>
      </c>
      <c r="G11" s="90">
        <f t="shared" si="1"/>
        <v>2899322.65</v>
      </c>
      <c r="H11" s="90">
        <v>125000</v>
      </c>
      <c r="I11" s="90">
        <v>21510.54</v>
      </c>
      <c r="J11" s="90">
        <f t="shared" si="0"/>
        <v>146510.54</v>
      </c>
      <c r="K11" s="90">
        <f t="shared" si="2"/>
        <v>44832225.240000002</v>
      </c>
      <c r="L11" s="90">
        <f t="shared" si="3"/>
        <v>2774322.65</v>
      </c>
      <c r="M11" s="90">
        <f t="shared" si="4"/>
        <v>848942730.89999998</v>
      </c>
    </row>
    <row r="12" spans="2:13" ht="27.95" customHeight="1">
      <c r="B12" s="32">
        <v>4</v>
      </c>
      <c r="C12" s="76" t="s">
        <v>964</v>
      </c>
      <c r="D12" s="90">
        <v>2220492.1399999997</v>
      </c>
      <c r="E12" s="90">
        <v>2354218.8199999998</v>
      </c>
      <c r="F12" s="90">
        <v>0</v>
      </c>
      <c r="G12" s="90">
        <f t="shared" si="1"/>
        <v>2354218.8199999998</v>
      </c>
      <c r="H12" s="90">
        <v>145225.38</v>
      </c>
      <c r="I12" s="90">
        <v>17384.330000000002</v>
      </c>
      <c r="J12" s="90">
        <f t="shared" si="0"/>
        <v>162609.71000000002</v>
      </c>
      <c r="K12" s="90">
        <f t="shared" si="2"/>
        <v>49758571.260000005</v>
      </c>
      <c r="L12" s="90">
        <f t="shared" si="3"/>
        <v>2208993.44</v>
      </c>
      <c r="M12" s="90">
        <f t="shared" si="4"/>
        <v>675951992.63999999</v>
      </c>
    </row>
    <row r="13" spans="2:13" ht="27.95" customHeight="1">
      <c r="B13" s="32">
        <v>5</v>
      </c>
      <c r="C13" s="54" t="s">
        <v>965</v>
      </c>
      <c r="D13" s="90">
        <v>1571559.03</v>
      </c>
      <c r="E13" s="90">
        <v>1666204.4</v>
      </c>
      <c r="F13" s="90">
        <v>0</v>
      </c>
      <c r="G13" s="90">
        <f t="shared" si="1"/>
        <v>1666204.4</v>
      </c>
      <c r="H13" s="90">
        <v>54546.44</v>
      </c>
      <c r="I13" s="90">
        <v>12394.26</v>
      </c>
      <c r="J13" s="90">
        <f t="shared" si="0"/>
        <v>66940.7</v>
      </c>
      <c r="K13" s="90">
        <f t="shared" si="2"/>
        <v>20483854.199999999</v>
      </c>
      <c r="L13" s="90">
        <f t="shared" si="3"/>
        <v>1611657.96</v>
      </c>
      <c r="M13" s="90">
        <f t="shared" si="4"/>
        <v>493167335.75999999</v>
      </c>
    </row>
    <row r="14" spans="2:13" ht="27.95" customHeight="1">
      <c r="B14" s="32">
        <v>6</v>
      </c>
      <c r="C14" s="54" t="s">
        <v>968</v>
      </c>
      <c r="D14" s="90">
        <v>3830474.42</v>
      </c>
      <c r="E14" s="90">
        <v>4061160.5</v>
      </c>
      <c r="F14" s="90">
        <v>0</v>
      </c>
      <c r="G14" s="90">
        <f t="shared" si="1"/>
        <v>4061160.5</v>
      </c>
      <c r="H14" s="90">
        <v>0</v>
      </c>
      <c r="I14" s="90">
        <v>30458.7</v>
      </c>
      <c r="J14" s="90">
        <f t="shared" si="0"/>
        <v>30458.7</v>
      </c>
      <c r="K14" s="90">
        <f t="shared" si="2"/>
        <v>9320362.2000000011</v>
      </c>
      <c r="L14" s="90">
        <f t="shared" si="3"/>
        <v>4061160.5</v>
      </c>
      <c r="M14" s="90">
        <f t="shared" si="4"/>
        <v>1242715113</v>
      </c>
    </row>
    <row r="15" spans="2:13" ht="27.95" customHeight="1">
      <c r="B15" s="32">
        <v>7</v>
      </c>
      <c r="C15" s="55" t="s">
        <v>967</v>
      </c>
      <c r="D15" s="90">
        <v>3014898.09</v>
      </c>
      <c r="E15" s="90">
        <v>3196466.99</v>
      </c>
      <c r="F15" s="90">
        <v>0</v>
      </c>
      <c r="G15" s="90">
        <f t="shared" si="1"/>
        <v>3196466.99</v>
      </c>
      <c r="H15" s="90">
        <v>0</v>
      </c>
      <c r="I15" s="90">
        <v>23973.5</v>
      </c>
      <c r="J15" s="90">
        <f t="shared" si="0"/>
        <v>23973.5</v>
      </c>
      <c r="K15" s="90">
        <f t="shared" si="2"/>
        <v>7335891</v>
      </c>
      <c r="L15" s="90">
        <f t="shared" si="3"/>
        <v>3196466.99</v>
      </c>
      <c r="M15" s="90">
        <f t="shared" si="4"/>
        <v>978118898.94000006</v>
      </c>
    </row>
    <row r="16" spans="2:13" ht="27.95" customHeight="1">
      <c r="B16" s="32">
        <v>8</v>
      </c>
      <c r="C16" s="54" t="s">
        <v>969</v>
      </c>
      <c r="D16" s="90">
        <v>4282313.0199999996</v>
      </c>
      <c r="E16" s="90">
        <v>4540210.59</v>
      </c>
      <c r="F16" s="90">
        <v>0</v>
      </c>
      <c r="G16" s="90">
        <f t="shared" si="1"/>
        <v>4540210.59</v>
      </c>
      <c r="H16" s="90">
        <v>0</v>
      </c>
      <c r="I16" s="90">
        <v>34051.620000000003</v>
      </c>
      <c r="J16" s="90">
        <f t="shared" si="0"/>
        <v>34051.620000000003</v>
      </c>
      <c r="K16" s="90">
        <f t="shared" si="2"/>
        <v>10419795.720000001</v>
      </c>
      <c r="L16" s="90">
        <f t="shared" si="3"/>
        <v>4540210.59</v>
      </c>
      <c r="M16" s="90">
        <f t="shared" si="4"/>
        <v>1389304440.54</v>
      </c>
    </row>
    <row r="17" spans="2:13" ht="27.95" customHeight="1">
      <c r="B17" s="32">
        <v>9</v>
      </c>
      <c r="C17" s="54" t="s">
        <v>970</v>
      </c>
      <c r="D17" s="90">
        <v>22558093.93</v>
      </c>
      <c r="E17" s="90">
        <v>22558093.93</v>
      </c>
      <c r="F17" s="90">
        <v>10375226.199999999</v>
      </c>
      <c r="G17" s="90">
        <f t="shared" si="1"/>
        <v>32933320.129999999</v>
      </c>
      <c r="H17" s="90">
        <v>0</v>
      </c>
      <c r="I17" s="90">
        <v>217269.97</v>
      </c>
      <c r="J17" s="90">
        <f t="shared" si="0"/>
        <v>217269.97</v>
      </c>
      <c r="K17" s="90">
        <f t="shared" si="2"/>
        <v>66484610.82</v>
      </c>
      <c r="L17" s="90">
        <f t="shared" si="3"/>
        <v>32933320.129999999</v>
      </c>
      <c r="M17" s="90">
        <f t="shared" si="4"/>
        <v>10077595959.779999</v>
      </c>
    </row>
    <row r="18" spans="2:13" ht="27.95" customHeight="1">
      <c r="B18" s="32">
        <v>10</v>
      </c>
      <c r="C18" s="54" t="s">
        <v>971</v>
      </c>
      <c r="D18" s="90">
        <v>3662977.97</v>
      </c>
      <c r="E18" s="90">
        <v>3883576.77</v>
      </c>
      <c r="F18" s="90">
        <v>261261.73</v>
      </c>
      <c r="G18" s="90">
        <f t="shared" si="1"/>
        <v>4144838.5</v>
      </c>
      <c r="H18" s="90">
        <v>0</v>
      </c>
      <c r="I18" s="90">
        <v>30468.99</v>
      </c>
      <c r="J18" s="90">
        <f t="shared" si="0"/>
        <v>30468.99</v>
      </c>
      <c r="K18" s="90">
        <f t="shared" si="2"/>
        <v>9323510.9400000013</v>
      </c>
      <c r="L18" s="90">
        <f t="shared" si="3"/>
        <v>4144838.5</v>
      </c>
      <c r="M18" s="90">
        <f t="shared" si="4"/>
        <v>1268320581</v>
      </c>
    </row>
    <row r="19" spans="2:13" ht="27.95" customHeight="1">
      <c r="B19" s="32">
        <v>11</v>
      </c>
      <c r="C19" s="54" t="s">
        <v>972</v>
      </c>
      <c r="D19" s="50">
        <v>0</v>
      </c>
      <c r="E19" s="50"/>
      <c r="F19" s="50">
        <v>0</v>
      </c>
      <c r="G19" s="90">
        <f t="shared" si="1"/>
        <v>0</v>
      </c>
      <c r="H19" s="50">
        <v>99449</v>
      </c>
      <c r="I19" s="50">
        <v>0</v>
      </c>
      <c r="J19" s="90">
        <f t="shared" si="0"/>
        <v>99449</v>
      </c>
      <c r="K19" s="90">
        <f t="shared" si="2"/>
        <v>30431394</v>
      </c>
      <c r="L19" s="90">
        <f t="shared" si="3"/>
        <v>-99449</v>
      </c>
      <c r="M19" s="90">
        <f t="shared" si="4"/>
        <v>-30431394</v>
      </c>
    </row>
    <row r="20" spans="2:13" ht="27.95" customHeight="1">
      <c r="B20" s="38"/>
      <c r="C20" s="36" t="s">
        <v>65</v>
      </c>
      <c r="D20" s="47">
        <f t="shared" ref="D20:M20" si="5">SUM(D9:D19)</f>
        <v>56877230.82</v>
      </c>
      <c r="E20" s="47">
        <f t="shared" si="5"/>
        <v>58769454.330000006</v>
      </c>
      <c r="F20" s="47">
        <f t="shared" si="5"/>
        <v>10636487.93</v>
      </c>
      <c r="G20" s="47">
        <f t="shared" si="5"/>
        <v>69405942.25999999</v>
      </c>
      <c r="H20" s="47">
        <f t="shared" si="5"/>
        <v>1297281.6099999999</v>
      </c>
      <c r="I20" s="47">
        <f t="shared" si="5"/>
        <v>487951.41000000003</v>
      </c>
      <c r="J20" s="47">
        <f t="shared" si="5"/>
        <v>1785233.0199999998</v>
      </c>
      <c r="K20" s="47">
        <f t="shared" si="5"/>
        <v>546281304.12</v>
      </c>
      <c r="L20" s="47">
        <f t="shared" si="5"/>
        <v>68108660.650000006</v>
      </c>
      <c r="M20" s="47">
        <f t="shared" si="5"/>
        <v>20841250158.899998</v>
      </c>
    </row>
    <row r="21" spans="2:13" ht="27.95" customHeight="1">
      <c r="B21" s="39"/>
      <c r="C21" s="82"/>
      <c r="D21" s="83"/>
      <c r="E21" s="83"/>
      <c r="F21" s="83"/>
      <c r="G21" s="83"/>
      <c r="H21" s="83"/>
      <c r="I21" s="83"/>
      <c r="J21" s="83"/>
      <c r="K21" s="83"/>
      <c r="L21" s="83"/>
      <c r="M21" s="83"/>
    </row>
    <row r="22" spans="2:13" ht="24.95" customHeight="1">
      <c r="B22" s="39"/>
      <c r="C22" s="63" t="s">
        <v>776</v>
      </c>
      <c r="D22" s="34"/>
      <c r="E22" s="34"/>
      <c r="F22" s="34"/>
      <c r="G22" s="34"/>
      <c r="H22" s="34"/>
      <c r="I22" s="34"/>
      <c r="J22" s="34"/>
      <c r="K22" s="34"/>
      <c r="L22" s="34"/>
      <c r="M22" s="94"/>
    </row>
    <row r="23" spans="2:13" s="4" customFormat="1" ht="20.100000000000001" hidden="1" customHeight="1">
      <c r="B23" s="7"/>
      <c r="C23" s="8"/>
      <c r="D23" s="8"/>
      <c r="E23" s="8"/>
      <c r="F23" s="8"/>
      <c r="G23" s="8"/>
      <c r="H23" s="8"/>
      <c r="I23" s="8"/>
      <c r="J23" s="8"/>
      <c r="K23" s="8"/>
      <c r="L23" s="60">
        <f>108991353.78+757619593.7</f>
        <v>866610947.48000002</v>
      </c>
      <c r="M23" s="26"/>
    </row>
    <row r="24" spans="2:13" s="4" customFormat="1" ht="20.100000000000001" customHeight="1">
      <c r="B24" s="5"/>
      <c r="C24" s="89"/>
      <c r="D24" s="686" t="s">
        <v>3</v>
      </c>
      <c r="E24" s="686"/>
      <c r="F24" s="686"/>
      <c r="G24" s="686" t="s">
        <v>3</v>
      </c>
      <c r="H24" s="686"/>
      <c r="M24" s="26"/>
    </row>
    <row r="25" spans="2:13" s="4" customFormat="1" ht="20.100000000000001" customHeight="1">
      <c r="B25" s="7"/>
      <c r="C25" s="88" t="s">
        <v>1439</v>
      </c>
      <c r="D25" s="687">
        <v>17347555400.099998</v>
      </c>
      <c r="E25" s="687"/>
      <c r="F25" s="687"/>
      <c r="G25" s="688"/>
      <c r="H25" s="688"/>
      <c r="I25" s="8"/>
      <c r="J25" s="8"/>
      <c r="K25" s="8"/>
      <c r="L25" s="53"/>
      <c r="M25" s="26"/>
    </row>
    <row r="26" spans="2:13" s="4" customFormat="1" ht="20.100000000000001" customHeight="1">
      <c r="B26" s="5"/>
      <c r="C26" s="80" t="s">
        <v>718</v>
      </c>
      <c r="D26" s="687">
        <v>3254765306.5799999</v>
      </c>
      <c r="E26" s="687"/>
      <c r="F26" s="687"/>
      <c r="G26" s="688"/>
      <c r="H26" s="688"/>
      <c r="M26" s="26"/>
    </row>
    <row r="27" spans="2:13" s="4" customFormat="1" ht="24" customHeight="1">
      <c r="B27" s="5"/>
      <c r="C27" s="81" t="s">
        <v>1440</v>
      </c>
      <c r="D27" s="687">
        <v>754160810.99000001</v>
      </c>
      <c r="E27" s="687"/>
      <c r="F27" s="687"/>
      <c r="G27" s="688"/>
      <c r="H27" s="688"/>
      <c r="M27" s="26"/>
    </row>
    <row r="28" spans="2:13" s="4" customFormat="1" ht="20.100000000000001" customHeight="1">
      <c r="B28" s="11"/>
      <c r="C28" s="91" t="s">
        <v>65</v>
      </c>
      <c r="D28" s="691"/>
      <c r="E28" s="691"/>
      <c r="F28" s="691"/>
      <c r="G28" s="692">
        <f>D25+D26+D27</f>
        <v>21356481517.670002</v>
      </c>
      <c r="H28" s="693"/>
      <c r="I28" s="9"/>
      <c r="J28" s="9"/>
      <c r="K28" s="9"/>
      <c r="L28" s="9"/>
      <c r="M28" s="95"/>
    </row>
    <row r="29" spans="2:13" s="4" customFormat="1" ht="20.100000000000001" customHeight="1">
      <c r="B29" s="5"/>
      <c r="C29" s="80" t="s">
        <v>1441</v>
      </c>
      <c r="D29" s="694"/>
      <c r="E29" s="694"/>
      <c r="F29" s="694"/>
      <c r="G29" s="694"/>
      <c r="H29" s="694"/>
      <c r="M29" s="26"/>
    </row>
    <row r="30" spans="2:13" s="4" customFormat="1" ht="20.100000000000001" customHeight="1">
      <c r="B30" s="11"/>
      <c r="C30" s="88" t="s">
        <v>1442</v>
      </c>
      <c r="D30" s="694"/>
      <c r="E30" s="694"/>
      <c r="F30" s="694"/>
      <c r="G30" s="687">
        <v>608306460.88</v>
      </c>
      <c r="H30" s="687"/>
      <c r="I30" s="10"/>
      <c r="J30" s="10"/>
      <c r="K30" s="10"/>
      <c r="L30" s="10"/>
      <c r="M30" s="63"/>
    </row>
    <row r="31" spans="2:13" s="4" customFormat="1" ht="20.100000000000001" customHeight="1">
      <c r="B31" s="5"/>
      <c r="C31" s="89" t="s">
        <v>1443</v>
      </c>
      <c r="D31" s="689"/>
      <c r="E31" s="689"/>
      <c r="F31" s="689"/>
      <c r="G31" s="690">
        <f>G28-G30</f>
        <v>20748175056.790001</v>
      </c>
      <c r="H31" s="689"/>
      <c r="M31" s="26"/>
    </row>
    <row r="32" spans="2:13" s="4" customFormat="1" ht="20.100000000000001" customHeight="1">
      <c r="B32" s="5"/>
      <c r="M32" s="26"/>
    </row>
    <row r="33" spans="2:13" s="4" customFormat="1" ht="20.100000000000001" customHeight="1">
      <c r="B33" s="5"/>
      <c r="M33" s="26"/>
    </row>
    <row r="34" spans="2:13" s="4" customFormat="1" ht="20.100000000000001" customHeight="1">
      <c r="B34" s="11"/>
      <c r="C34" s="9"/>
      <c r="D34" s="9"/>
      <c r="E34" s="9"/>
      <c r="F34" s="9"/>
      <c r="G34" s="9"/>
      <c r="H34" s="9"/>
      <c r="I34" s="9"/>
      <c r="J34" s="9"/>
      <c r="K34" s="9"/>
      <c r="L34" s="9"/>
      <c r="M34" s="95"/>
    </row>
    <row r="35" spans="2:13" s="4" customFormat="1" ht="20.100000000000001" customHeight="1">
      <c r="B35" s="11"/>
      <c r="C35" s="9"/>
      <c r="D35" s="9"/>
      <c r="E35" s="9"/>
      <c r="F35" s="9"/>
      <c r="G35" s="9"/>
      <c r="H35" s="9"/>
      <c r="I35" s="9"/>
      <c r="J35" s="9"/>
      <c r="K35" s="9"/>
      <c r="L35" s="9"/>
      <c r="M35" s="95"/>
    </row>
    <row r="36" spans="2:13" s="4" customFormat="1" ht="20.100000000000001" customHeight="1">
      <c r="B36" s="11"/>
      <c r="C36" s="9"/>
      <c r="D36" s="9"/>
      <c r="E36" s="9"/>
      <c r="F36" s="9"/>
      <c r="G36" s="9"/>
      <c r="H36" s="9"/>
      <c r="I36" s="9"/>
      <c r="J36" s="9"/>
      <c r="K36" s="9"/>
      <c r="L36" s="9"/>
      <c r="M36" s="95"/>
    </row>
    <row r="37" spans="2:13" s="4" customFormat="1" ht="20.100000000000001" customHeight="1">
      <c r="B37" s="5"/>
      <c r="M37" s="26"/>
    </row>
    <row r="38" spans="2:13" s="4" customFormat="1" ht="20.100000000000001" customHeight="1">
      <c r="B38" s="5"/>
      <c r="M38" s="26"/>
    </row>
    <row r="39" spans="2:13" s="4" customFormat="1" ht="20.100000000000001" customHeight="1">
      <c r="B39" s="5"/>
      <c r="M39" s="26"/>
    </row>
  </sheetData>
  <mergeCells count="20">
    <mergeCell ref="D31:F31"/>
    <mergeCell ref="G31:H31"/>
    <mergeCell ref="D28:F28"/>
    <mergeCell ref="G28:H28"/>
    <mergeCell ref="D29:F29"/>
    <mergeCell ref="G29:H29"/>
    <mergeCell ref="D30:F30"/>
    <mergeCell ref="G30:H30"/>
    <mergeCell ref="D25:F25"/>
    <mergeCell ref="G25:H25"/>
    <mergeCell ref="D26:F26"/>
    <mergeCell ref="G26:H26"/>
    <mergeCell ref="D27:F27"/>
    <mergeCell ref="G27:H27"/>
    <mergeCell ref="B1:M1"/>
    <mergeCell ref="B2:M2"/>
    <mergeCell ref="B3:M3"/>
    <mergeCell ref="B4:M4"/>
    <mergeCell ref="D24:F24"/>
    <mergeCell ref="G24:H24"/>
  </mergeCells>
  <pageMargins left="0" right="0.2" top="0.25" bottom="0.5" header="0.3" footer="0.3"/>
  <pageSetup paperSize="9" firstPageNumber="97" orientation="landscape" useFirstPageNumber="1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45</vt:i4>
      </vt:variant>
      <vt:variant>
        <vt:lpstr>Named Ranges</vt:lpstr>
      </vt:variant>
      <vt:variant>
        <vt:i4>41</vt:i4>
      </vt:variant>
    </vt:vector>
  </HeadingPairs>
  <TitlesOfParts>
    <vt:vector size="86" baseType="lpstr">
      <vt:lpstr>CHARTS</vt:lpstr>
      <vt:lpstr>F. PERFORMANCE</vt:lpstr>
      <vt:lpstr>F. POSITION </vt:lpstr>
      <vt:lpstr>CASH FLOW</vt:lpstr>
      <vt:lpstr>CHANGE IN EQUITY</vt:lpstr>
      <vt:lpstr>BUDGET&amp;ACTUAL</vt:lpstr>
      <vt:lpstr>FAAC (1)</vt:lpstr>
      <vt:lpstr>VAT</vt:lpstr>
      <vt:lpstr>FAAC (2)</vt:lpstr>
      <vt:lpstr>FAAC DEDUC </vt:lpstr>
      <vt:lpstr>IGR</vt:lpstr>
      <vt:lpstr>NON TAX IGR</vt:lpstr>
      <vt:lpstr>OTHER REV.</vt:lpstr>
      <vt:lpstr>SALARIES </vt:lpstr>
      <vt:lpstr>PERSONEL</vt:lpstr>
      <vt:lpstr>SOCIAL BENIFITS</vt:lpstr>
      <vt:lpstr>OVERHEAD</vt:lpstr>
      <vt:lpstr>TOF</vt:lpstr>
      <vt:lpstr>SUBVENTION</vt:lpstr>
      <vt:lpstr>DEPRECIATION </vt:lpstr>
      <vt:lpstr>DEPRECIATION B</vt:lpstr>
      <vt:lpstr>CAPITAL COST</vt:lpstr>
      <vt:lpstr>INTANGIBLE</vt:lpstr>
      <vt:lpstr>SALARIES (CASH)</vt:lpstr>
      <vt:lpstr>SOCIAL BENIFITS (CASH)</vt:lpstr>
      <vt:lpstr>OVERHEAD (CASH)</vt:lpstr>
      <vt:lpstr>TOF (CASH)</vt:lpstr>
      <vt:lpstr>SUBVENTION (CASH)</vt:lpstr>
      <vt:lpstr>CAPITAL (CASH)</vt:lpstr>
      <vt:lpstr>FOREIGN&amp;LLOCAL LOAN</vt:lpstr>
      <vt:lpstr>CASH BAL </vt:lpstr>
      <vt:lpstr>INVENTORIES </vt:lpstr>
      <vt:lpstr>BOND SINKING </vt:lpstr>
      <vt:lpstr>PPE </vt:lpstr>
      <vt:lpstr>REVOLVING LOAN </vt:lpstr>
      <vt:lpstr>FIXED ASSETS</vt:lpstr>
      <vt:lpstr>WIP</vt:lpstr>
      <vt:lpstr>ACCRUALS</vt:lpstr>
      <vt:lpstr>F LOANS REPYT </vt:lpstr>
      <vt:lpstr>D LOANS REPYT </vt:lpstr>
      <vt:lpstr>ANNEXURE 1 </vt:lpstr>
      <vt:lpstr>ANNEXURE 2 </vt:lpstr>
      <vt:lpstr>ANNEXURE 3</vt:lpstr>
      <vt:lpstr>ANNEXURE 4</vt:lpstr>
      <vt:lpstr>LOANS REPYT (31)</vt:lpstr>
      <vt:lpstr>'ANNEXURE 3'!Print_Area</vt:lpstr>
      <vt:lpstr>'BUDGET&amp;ACTUAL'!Print_Area</vt:lpstr>
      <vt:lpstr>'CAPITAL COST'!Print_Area</vt:lpstr>
      <vt:lpstr>'D LOANS REPYT '!Print_Area</vt:lpstr>
      <vt:lpstr>'F. POSITION '!Print_Area</vt:lpstr>
      <vt:lpstr>'FAAC (2)'!Print_Area</vt:lpstr>
      <vt:lpstr>IGR!Print_Area</vt:lpstr>
      <vt:lpstr>INTANGIBLE!Print_Area</vt:lpstr>
      <vt:lpstr>'OVERHEAD (CASH)'!Print_Area</vt:lpstr>
      <vt:lpstr>ACCRUALS!Print_Titles</vt:lpstr>
      <vt:lpstr>'ANNEXURE 1 '!Print_Titles</vt:lpstr>
      <vt:lpstr>'ANNEXURE 2 '!Print_Titles</vt:lpstr>
      <vt:lpstr>'ANNEXURE 3'!Print_Titles</vt:lpstr>
      <vt:lpstr>'ANNEXURE 4'!Print_Titles</vt:lpstr>
      <vt:lpstr>'BOND SINKING '!Print_Titles</vt:lpstr>
      <vt:lpstr>'BUDGET&amp;ACTUAL'!Print_Titles</vt:lpstr>
      <vt:lpstr>'CAPITAL (CASH)'!Print_Titles</vt:lpstr>
      <vt:lpstr>'CASH BAL '!Print_Titles</vt:lpstr>
      <vt:lpstr>'CASH FLOW'!Print_Titles</vt:lpstr>
      <vt:lpstr>'CHANGE IN EQUITY'!Print_Titles</vt:lpstr>
      <vt:lpstr>'DEPRECIATION '!Print_Titles</vt:lpstr>
      <vt:lpstr>'DEPRECIATION B'!Print_Titles</vt:lpstr>
      <vt:lpstr>'F. PERFORMANCE'!Print_Titles</vt:lpstr>
      <vt:lpstr>'F. POSITION '!Print_Titles</vt:lpstr>
      <vt:lpstr>'FOREIGN&amp;LLOCAL LOAN'!Print_Titles</vt:lpstr>
      <vt:lpstr>IGR!Print_Titles</vt:lpstr>
      <vt:lpstr>INTANGIBLE!Print_Titles</vt:lpstr>
      <vt:lpstr>'INVENTORIES '!Print_Titles</vt:lpstr>
      <vt:lpstr>'NON TAX IGR'!Print_Titles</vt:lpstr>
      <vt:lpstr>OVERHEAD!Print_Titles</vt:lpstr>
      <vt:lpstr>'OVERHEAD (CASH)'!Print_Titles</vt:lpstr>
      <vt:lpstr>PERSONEL!Print_Titles</vt:lpstr>
      <vt:lpstr>'PPE '!Print_Titles</vt:lpstr>
      <vt:lpstr>'SALARIES '!Print_Titles</vt:lpstr>
      <vt:lpstr>'SALARIES (CASH)'!Print_Titles</vt:lpstr>
      <vt:lpstr>'SOCIAL BENIFITS'!Print_Titles</vt:lpstr>
      <vt:lpstr>'SOCIAL BENIFITS (CASH)'!Print_Titles</vt:lpstr>
      <vt:lpstr>SUBVENTION!Print_Titles</vt:lpstr>
      <vt:lpstr>'SUBVENTION (CASH)'!Print_Titles</vt:lpstr>
      <vt:lpstr>TOF!Print_Titles</vt:lpstr>
      <vt:lpstr>'TOF (CASH)'!Print_Titles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 MAIN ACCOUNTS</dc:creator>
  <cp:lastModifiedBy>USER</cp:lastModifiedBy>
  <cp:lastPrinted>2019-06-28T15:03:13Z</cp:lastPrinted>
  <dcterms:created xsi:type="dcterms:W3CDTF">2018-02-05T10:10:04Z</dcterms:created>
  <dcterms:modified xsi:type="dcterms:W3CDTF">2019-11-19T09:52:25Z</dcterms:modified>
</cp:coreProperties>
</file>